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bookViews>
    <workbookView xWindow="840" yWindow="450" windowWidth="10860" windowHeight="5640" activeTab="3"/>
  </bookViews>
  <sheets>
    <sheet name="Comm" sheetId="1" r:id="rId1"/>
    <sheet name="Assoc" sheetId="4" r:id="rId2"/>
    <sheet name="Assist" sheetId="5" r:id="rId3"/>
    <sheet name="Acct" sheetId="10" r:id="rId4"/>
    <sheet name="AcctLongCY" sheetId="13" r:id="rId5"/>
    <sheet name="AcctLongPY" sheetId="11" r:id="rId6"/>
    <sheet name="DNU" sheetId="3" r:id="rId7"/>
    <sheet name="EventsDNU" sheetId="6" r:id="rId8"/>
    <sheet name="AwardsDNU" sheetId="8" r:id="rId9"/>
    <sheet name="Souv.ARDNU" sheetId="9" r:id="rId10"/>
    <sheet name="Acct2dnu" sheetId="12" r:id="rId11"/>
  </sheets>
  <definedNames>
    <definedName name="_xlnm.Print_Area" localSheetId="3">'Acct'!$A$1:$Q$28</definedName>
    <definedName name="_xlnm.Print_Area" localSheetId="10">'Acct2dnu'!$A$1:$O$35</definedName>
    <definedName name="_xlnm.Print_Area" localSheetId="2">'Assist'!$A$1:$O$22</definedName>
    <definedName name="_xlnm.Print_Area" localSheetId="1">'Assoc'!$A$1:$O$22</definedName>
    <definedName name="_xlnm.Print_Area" localSheetId="8">'AwardsDNU'!$A$1:$R$20</definedName>
    <definedName name="_xlnm.Print_Area" localSheetId="0">'Comm'!$A$1:$O$36</definedName>
    <definedName name="_xlnm.Print_Area" localSheetId="7">'EventsDNU'!$A$1:$T$21</definedName>
    <definedName name="_xlnm.Print_Area" localSheetId="9">'Souv.ARDNU'!$A$1:$T$21</definedName>
  </definedNames>
  <calcPr calcId="171027"/>
</workbook>
</file>

<file path=xl/comments11.xml><?xml version="1.0" encoding="utf-8"?>
<comments xmlns="http://schemas.openxmlformats.org/spreadsheetml/2006/main">
  <authors>
    <author>Laura Nathlich</author>
  </authors>
  <commentList>
    <comment ref="M5" authorId="0">
      <text>
        <r>
          <rPr>
            <b/>
            <sz val="9"/>
            <rFont val="Tahoma"/>
            <family val="2"/>
          </rPr>
          <t>Laura Nathlich:</t>
        </r>
        <r>
          <rPr>
            <sz val="9"/>
            <rFont val="Tahoma"/>
            <family val="2"/>
          </rPr>
          <t xml:space="preserve">
as of 06/01/14</t>
        </r>
      </text>
    </comment>
    <comment ref="N5" authorId="0">
      <text>
        <r>
          <rPr>
            <b/>
            <sz val="9"/>
            <rFont val="Tahoma"/>
            <family val="2"/>
          </rPr>
          <t>Laura Nathlich:</t>
        </r>
        <r>
          <rPr>
            <sz val="9"/>
            <rFont val="Tahoma"/>
            <family val="2"/>
          </rPr>
          <t xml:space="preserve">
as of 06/01/15</t>
        </r>
      </text>
    </comment>
    <comment ref="L7" authorId="0">
      <text>
        <r>
          <rPr>
            <b/>
            <sz val="9"/>
            <rFont val="Tahoma"/>
            <family val="2"/>
          </rPr>
          <t>Laura Nathlich:</t>
        </r>
        <r>
          <rPr>
            <sz val="9"/>
            <rFont val="Tahoma"/>
            <family val="2"/>
          </rPr>
          <t xml:space="preserve">
Laura started at step 10 &amp; is in yr 8 in as of 06/01/14</t>
        </r>
      </text>
    </comment>
    <comment ref="I39" authorId="0">
      <text>
        <r>
          <rPr>
            <b/>
            <sz val="9"/>
            <rFont val="Tahoma"/>
            <family val="2"/>
          </rPr>
          <t>Laura Nathlich:</t>
        </r>
        <r>
          <rPr>
            <sz val="9"/>
            <rFont val="Tahoma"/>
            <family val="2"/>
          </rPr>
          <t xml:space="preserve">
Bri skips step F yr  4-6 &amp; goes to step F yr 7-9</t>
        </r>
      </text>
    </comment>
  </commentList>
</comments>
</file>

<file path=xl/comments3.xml><?xml version="1.0" encoding="utf-8"?>
<comments xmlns="http://schemas.openxmlformats.org/spreadsheetml/2006/main">
  <authors>
    <author>Laura Nathlich</author>
  </authors>
  <commentList>
    <comment ref="I7" authorId="0">
      <text>
        <r>
          <rPr>
            <b/>
            <sz val="9"/>
            <rFont val="Tahoma"/>
            <family val="2"/>
          </rPr>
          <t>Laura Nathlich:</t>
        </r>
        <r>
          <rPr>
            <sz val="9"/>
            <rFont val="Tahoma"/>
            <family val="2"/>
          </rPr>
          <t xml:space="preserve">
Bri skips step F yr  4-6 &amp; goes to step F yr 7-9</t>
        </r>
      </text>
    </comment>
  </commentList>
</comments>
</file>

<file path=xl/sharedStrings.xml><?xml version="1.0" encoding="utf-8"?>
<sst xmlns="http://schemas.openxmlformats.org/spreadsheetml/2006/main" count="535" uniqueCount="249">
  <si>
    <t>TOTAL</t>
  </si>
  <si>
    <t>VIII</t>
  </si>
  <si>
    <t>VII</t>
  </si>
  <si>
    <t>VI</t>
  </si>
  <si>
    <t>V</t>
  </si>
  <si>
    <t>IV</t>
  </si>
  <si>
    <t>III</t>
  </si>
  <si>
    <t>II</t>
  </si>
  <si>
    <t>I</t>
  </si>
  <si>
    <t>WK. DAYS</t>
  </si>
  <si>
    <t>DISTRICT</t>
  </si>
  <si>
    <r>
      <t>1</t>
    </r>
    <r>
      <rPr>
        <sz val="8"/>
        <rFont val="Arial"/>
        <family val="2"/>
      </rPr>
      <t xml:space="preserve"> Commissioner: NCS Board of Managers on April 30,1999 established the NCS Commissioner of Athletics Salary to be based on a 240 day work year. {Compensation will be computed using the average per diem rate (average annual salary divided by the number of days worked required by the position ) for the 10 base districts times 240 days.}</t>
    </r>
  </si>
  <si>
    <t>LONG. After 5 yrs= 3%; After 10,15,20,25,30,35 yrs = Additional 1%, Masters=$1300</t>
  </si>
  <si>
    <t>Masters</t>
  </si>
  <si>
    <t>Acalanes</t>
  </si>
  <si>
    <t>Alameda</t>
  </si>
  <si>
    <t>Antioch</t>
  </si>
  <si>
    <t>Fremont</t>
  </si>
  <si>
    <t>District</t>
  </si>
  <si>
    <t>Martinez</t>
  </si>
  <si>
    <t>Mt. Diablo</t>
  </si>
  <si>
    <t>Pleasanton</t>
  </si>
  <si>
    <t>West CC</t>
  </si>
  <si>
    <t>San Leandro</t>
  </si>
  <si>
    <t>San Ramon</t>
  </si>
  <si>
    <t>Average per Year</t>
  </si>
  <si>
    <t>Amount per Pay Period</t>
  </si>
  <si>
    <r>
      <t>NCS COMMISSIONER</t>
    </r>
    <r>
      <rPr>
        <sz val="8"/>
        <rFont val="Arial"/>
        <family val="2"/>
      </rPr>
      <t xml:space="preserve"> SALARY-AVG/YR</t>
    </r>
    <r>
      <rPr>
        <vertAlign val="superscript"/>
        <sz val="8"/>
        <rFont val="Arial"/>
        <family val="2"/>
      </rPr>
      <t>1</t>
    </r>
    <r>
      <rPr>
        <sz val="8"/>
        <rFont val="Arial"/>
        <family val="2"/>
      </rPr>
      <t xml:space="preserve"> FOR 240 DAYS   </t>
    </r>
  </si>
  <si>
    <t>IX</t>
  </si>
  <si>
    <r>
      <t>2</t>
    </r>
    <r>
      <rPr>
        <sz val="8"/>
        <rFont val="Arial"/>
        <family val="2"/>
      </rPr>
      <t>Commissioner began employment in current position with NCS August 2008 on step 5 of the NCS Salary Schedule</t>
    </r>
  </si>
  <si>
    <r>
      <t>3</t>
    </r>
    <r>
      <rPr>
        <sz val="8"/>
        <rFont val="Arial"/>
        <family val="2"/>
      </rPr>
      <t xml:space="preserve">  No changes made from prior year by school district</t>
    </r>
  </si>
  <si>
    <t>BASED ON HIGH SCHOOL VICE-PRINCIPAL SALARY SCHEDULES OF THE 10 BASE SCHOOL DISTRICTS</t>
  </si>
  <si>
    <t>X</t>
  </si>
  <si>
    <r>
      <t>SALARY-AVG/YR FOR 240 DAYS</t>
    </r>
    <r>
      <rPr>
        <vertAlign val="superscript"/>
        <sz val="8"/>
        <rFont val="Arial"/>
        <family val="2"/>
      </rPr>
      <t>1</t>
    </r>
  </si>
  <si>
    <r>
      <t>1</t>
    </r>
    <r>
      <rPr>
        <sz val="8"/>
        <rFont val="Arial"/>
        <family val="2"/>
      </rPr>
      <t xml:space="preserve"> Director of Operations: NCS Board of Managers on April 30,1999 established the NCS Director of Operations salary based on a 240 day work year. {Compensation will be computed using the average per diem rate (average annual salary divided by the average number of days worked required by the position) for 10 base districts times 240 days.}</t>
    </r>
  </si>
  <si>
    <r>
      <t xml:space="preserve">2 </t>
    </r>
    <r>
      <rPr>
        <sz val="8"/>
        <rFont val="Arial"/>
        <family val="2"/>
      </rPr>
      <t>Director of Operations: NCS Board of Managers on April 27,2001 established the NCS Director of Operations job title will be reclassified Assistant Commissioner/Director of Operations and the salary will be upgraded to 100% of a Vice Principal's salary and phased in over a two-year period beginning August 2001.  Note:  Up to August 1, 2000, salary = 92% or a Vice Principal's salary;  August 2001-July 31, 2002, salary = 96% of a Vice Principal's salary,; beginning August 1, 2002, salary = to 100% of a Vice Principal's salary.</t>
    </r>
  </si>
  <si>
    <t xml:space="preserve"> </t>
  </si>
  <si>
    <t>LONG. AFTER 5 YRS =3%; AFTER 10,15,20,25,30,35 YRS= ADDITIONAL 1%, Masters =$1300</t>
  </si>
  <si>
    <t xml:space="preserve">  </t>
  </si>
  <si>
    <r>
      <t>SALARY-AVG/YR FOR 220 DAYS</t>
    </r>
    <r>
      <rPr>
        <vertAlign val="superscript"/>
        <sz val="8"/>
        <rFont val="Arial"/>
        <family val="2"/>
      </rPr>
      <t xml:space="preserve">1 </t>
    </r>
    <r>
      <rPr>
        <sz val="8"/>
        <rFont val="Arial"/>
        <family val="2"/>
      </rPr>
      <t>ASST. D.O. SALARY</t>
    </r>
  </si>
  <si>
    <t xml:space="preserve">LONG: AFTER 9 YRS.- 3%; AFTER 14 YRS. - 6% (Accounts Payable Technician-Level 18) </t>
  </si>
  <si>
    <t>LONG:  AT 10 YRS. - 2.5%; 15 YRS. - 2.5%; 20 YRS. - 2.5%; 25 YRS. - 2.5% (Senior Account Clerk - Range 448)</t>
  </si>
  <si>
    <t>LONG: AFTER 5 YRS. 3%; AFTER 10,15,20,25,30,35 YRS. - Additional 1% (Account Technician II-Level 20)</t>
  </si>
  <si>
    <t>LONG: AT 8 YRS. - 2.5%; AT 13 YRS. - 5%; AT 18 YRS. - 7.5%; AT 23 YRS. - 10%; AT 28 YRS. - 12.5% (Computer Technician - Level 44)</t>
  </si>
  <si>
    <t>LONG: AFTER 5 YRS. - 4%; AFTER 10 YRS. - 6%, AFTER 15 YRS. - 8%; AFTER 20 YRS. - 10%; (Payroll Technician - Range 14)</t>
  </si>
  <si>
    <t>AVERAGE</t>
  </si>
  <si>
    <t>YEARLY SALARY</t>
  </si>
  <si>
    <r>
      <t>2</t>
    </r>
    <r>
      <rPr>
        <sz val="9"/>
        <rFont val="Arial"/>
        <family val="2"/>
      </rPr>
      <t xml:space="preserve"> Work week = 37.5 hours, adjust to NCS 2080 hours per year</t>
    </r>
  </si>
  <si>
    <t>LONG: AFTER 9 YRS.- 3%; AFTER 14 YRS. - 6%; AFTER 19 YRS - 9%; (SCHOOL SECRETARY - Level 16)</t>
  </si>
  <si>
    <t>LONG: AFTER 8 YRS.- 3 %; AFTER 15 YRS. - 3 % (Clerical Program Assistant - Level 28)</t>
  </si>
  <si>
    <t>LONG: AFTER 10 YRS. - 2%; 15 YRS-  $3%; (SCH.OFFICE ASST. - Level 124)</t>
  </si>
  <si>
    <t>LONG:  AT 10 YRS. - 2.5%; 15 YRS. - 2.5%; 20 YRS. - 2.5%; 25 YRS. - 2.5% (INTERMEDIATE TYPIST CLERK - Range 388)</t>
  </si>
  <si>
    <t>LONG: AFTER 5 YRS. 3%; AFTER 10,15,20,25,30,35 YRS. - Additional 1% (School Clerk-Level 11)</t>
  </si>
  <si>
    <t>LONG: AT 8 YRS. - 2.5%; AT 13 YRS. - 5%; AT 18 YRS. - 7.5%; AT 23 YRS. - 10%; AT 28 YRS. - 12.5% (OFFICE CLERK II - LEVEL 30)</t>
  </si>
  <si>
    <t>LONG: AFTER 5 YRS. - 4%; AFTER 10 YRS. - 6%, AFTER 15 YRS. - 8%; AFTER 20 YRS. - 10%; (CLERK TYPIST - Range 10)</t>
  </si>
  <si>
    <r>
      <t>2</t>
    </r>
    <r>
      <rPr>
        <sz val="10"/>
        <rFont val="Arial"/>
        <family val="2"/>
      </rPr>
      <t xml:space="preserve"> Work week = 37.5 hours, adjust to NCS 2080 hours per year</t>
    </r>
  </si>
  <si>
    <t>LONG: AFTER 9 YRS.- 3%; AFTER 14 YRS. - 6%; AFTER 19 YRS - 9%; (Office Clerk - Level 14)</t>
  </si>
  <si>
    <t>LONG:  AT 10 YRS. - 2.5%; 15 YRS. - 2.5%; 20 YRS. - 2.5%; 25 YRS. - 2.5% (Receptionist - Range 388)</t>
  </si>
  <si>
    <t>LONG: AFTER 5 YRS. 3%; AFTER 10,15,20,25,30,35 YRS. - Additional 1% (Clerk-Level 10)</t>
  </si>
  <si>
    <t>LONG: AT 8 YRS. - 2.5%; AT 13 YRS. - 5%; AT 18 YRS. - 7.5%; AT 23 YRS. - 10%; AT 28 YRS. - 12.5% (OFFICE CLERK I - LEVEL 29)</t>
  </si>
  <si>
    <t>NCS ACCOUNTANT</t>
  </si>
  <si>
    <t>STEP1</t>
  </si>
  <si>
    <t>STEP 2</t>
  </si>
  <si>
    <t>STEP 3</t>
  </si>
  <si>
    <t>STEP 4</t>
  </si>
  <si>
    <t>STEP 5</t>
  </si>
  <si>
    <t>% INCREASE</t>
  </si>
  <si>
    <t>ADMINISTRATIVE ASST.</t>
  </si>
  <si>
    <t>CHAMPIONSHIP EVENTS CLERK</t>
  </si>
  <si>
    <t>STEP 6</t>
  </si>
  <si>
    <t>STEP 7</t>
  </si>
  <si>
    <t>STEP 8</t>
  </si>
  <si>
    <t>STEP 9</t>
  </si>
  <si>
    <t>STEP10</t>
  </si>
  <si>
    <t xml:space="preserve">STEP 1 </t>
  </si>
  <si>
    <t xml:space="preserve">STEP 3 </t>
  </si>
  <si>
    <t>STEP 10</t>
  </si>
  <si>
    <r>
      <t>4</t>
    </r>
    <r>
      <rPr>
        <sz val="10"/>
        <rFont val="Arial"/>
        <family val="2"/>
      </rPr>
      <t xml:space="preserve"> Work week = 37.5 hours, adjust to NCS 2080 hours per year</t>
    </r>
  </si>
  <si>
    <t>+Long (11yrs)</t>
  </si>
  <si>
    <t>x</t>
  </si>
  <si>
    <t>LONG: After 8yrs- 3 %; After 15yrs+ 3 %, After 20yrs +3% (Clerical Program Assistant - Level 28)</t>
  </si>
  <si>
    <t>LONG. At 5 yrs, 8,11,14,17, and 20 yrs +1% cumm, Masters=$1000</t>
  </si>
  <si>
    <t>LONG. AFTER 5 YRS =3%; AFTER 10,15,20,25,30,35 YRS= ADD 1%, Masters=1300</t>
  </si>
  <si>
    <t>LONG: AFTER 5 YRS. - 4%; AFTER 10 YRS. - 6%, AFTER 15 YRS. - 8%; AFTER 20 YRS. - 10%; (Range 9)</t>
  </si>
  <si>
    <t>NO LONG</t>
  </si>
  <si>
    <t>next change - 25 yrs</t>
  </si>
  <si>
    <t>+Long (22yrs)</t>
  </si>
  <si>
    <t>+Long (23yrs)</t>
  </si>
  <si>
    <r>
      <t>ALAMEDA</t>
    </r>
    <r>
      <rPr>
        <b/>
        <vertAlign val="superscript"/>
        <sz val="8"/>
        <rFont val="Arial"/>
        <family val="2"/>
      </rPr>
      <t xml:space="preserve"> (11-12)</t>
    </r>
  </si>
  <si>
    <t>LONG: AFTER 8 YRS,15,20,26- 3 % (Account Technician - Level 35)</t>
  </si>
  <si>
    <t>LONG: AFTER 10 yr. - 2%; 15 yr-  3%; 20 yr - 4%, 25 -5% (Clerk Typist-LEVEL 123)</t>
  </si>
  <si>
    <t>LONG: AFTER 10 YRS. - 2%; 15 YRS-  3%;20 Yrs - 4%, 25 -5% Account Technician Level 133)</t>
  </si>
  <si>
    <t>eff 1/1/13</t>
  </si>
  <si>
    <t>Col 10 - @  8 yrs, Col 11-@12 yrs, Col 12 @ 20 yrs service w/ NCS</t>
  </si>
  <si>
    <r>
      <t>BASED ON THE 2013-14 SCHOOL YEAR (</t>
    </r>
    <r>
      <rPr>
        <sz val="10"/>
        <rFont val="Arial Narrow"/>
        <family val="2"/>
      </rPr>
      <t>BASED ON COMPARATIVE CLERICAL POSTIONS)</t>
    </r>
  </si>
  <si>
    <r>
      <t>ANTIOCH</t>
    </r>
    <r>
      <rPr>
        <vertAlign val="superscript"/>
        <sz val="8"/>
        <rFont val="Arial"/>
        <family val="2"/>
      </rPr>
      <t>(12-13)</t>
    </r>
  </si>
  <si>
    <t>LONG: $533/yr after 5 yrs; $1865/yr after 10 yrs,$1999/yr after 15 yrs, $2265/yr after 20 yrs.,$2466/yr after 25  (Sr Account Clerk - Special Programs - Level 52)  Divide annual salary by 1950 (37.5 hour/week worked)</t>
  </si>
  <si>
    <t>LONG: $533/YR. AFTER 5 YRS; $1865/YR AFTER 10 YRS. $1999 AFTER 15 YRS. (Typist Clerk III - Level .51)  Divide annual salary by 1950 (37.5 hour/week worked)</t>
  </si>
  <si>
    <t>LONG: $533/yr. after 5 yrs; $1865/yr after 10 yrs, $1999 after 15 yrs, $2265 after 20yrs, $2466 after 25yrs (Account Clerk I - Level 45)  Divide annual salary by 1950 (37.5 hour/week worked)</t>
  </si>
  <si>
    <r>
      <t>ACALANES</t>
    </r>
    <r>
      <rPr>
        <vertAlign val="superscript"/>
        <sz val="8"/>
        <rFont val="Arial"/>
        <family val="2"/>
      </rPr>
      <t>(13-14)</t>
    </r>
  </si>
  <si>
    <t>NO LONG.  Masters =- $1144</t>
  </si>
  <si>
    <t>NOTES:  as of  11/01/14=24 yrs</t>
  </si>
  <si>
    <t>+Long (24yrs)</t>
  </si>
  <si>
    <t>BASED ON HIGH SCHOOL PRINCIPAL OF THE 10 BASE SCHOOL DISTRICTS</t>
  </si>
  <si>
    <t>NOTES:  as of  09/01/14 = Step 7, yr 7</t>
  </si>
  <si>
    <t>NOTES:  as of  11/01/14  Step 7, yr 2</t>
  </si>
  <si>
    <r>
      <t>ALAMEDA</t>
    </r>
    <r>
      <rPr>
        <vertAlign val="superscript"/>
        <sz val="9"/>
        <rFont val="Arial Narrow"/>
        <family val="2"/>
      </rPr>
      <t>(13-14)</t>
    </r>
  </si>
  <si>
    <r>
      <t>FREMONT</t>
    </r>
    <r>
      <rPr>
        <vertAlign val="superscript"/>
        <sz val="8"/>
        <rFont val="Arial"/>
        <family val="2"/>
      </rPr>
      <t>(13/14)</t>
    </r>
  </si>
  <si>
    <r>
      <t>ANTIOCH</t>
    </r>
    <r>
      <rPr>
        <vertAlign val="superscript"/>
        <sz val="8"/>
        <rFont val="Arial"/>
        <family val="2"/>
      </rPr>
      <t>(12-13)3</t>
    </r>
  </si>
  <si>
    <t xml:space="preserve">LONG:  AT 11yrs - 2.5%; 16yr-+3%,21yr +3.5 %(Account Technician Level 25) </t>
  </si>
  <si>
    <t xml:space="preserve">LONG:  AT 11 yr +2.5%; 16 YRS +3.0 %(Office Assistant 11 - Level 14) </t>
  </si>
  <si>
    <t>LONG:  AT 11 YR +2.5%; 16 yr +3.0%(Office Assistant I - LEVEL 10)</t>
  </si>
  <si>
    <r>
      <t>MARTINEZ</t>
    </r>
    <r>
      <rPr>
        <vertAlign val="superscript"/>
        <sz val="8"/>
        <rFont val="Arial"/>
        <family val="2"/>
      </rPr>
      <t>(13-14)</t>
    </r>
  </si>
  <si>
    <t>LONG: 11 yr +2.5%, 16 yr +5%, 20yr +7.5% (Account Technician-Level 39)</t>
  </si>
  <si>
    <t>LONG: 11yr  +2.5%, 15yr +5%  (CLERK TYPIST II - Level 28)</t>
  </si>
  <si>
    <t>LONG: 11yr + 2.5%, 16yr +5%, 21 yr +7.5% (TYPIST CLERK I - Level 26)</t>
  </si>
  <si>
    <r>
      <t>MT. DIABLO</t>
    </r>
    <r>
      <rPr>
        <vertAlign val="superscript"/>
        <sz val="6"/>
        <rFont val="Arial"/>
        <family val="2"/>
      </rPr>
      <t>(13-14)</t>
    </r>
  </si>
  <si>
    <r>
      <rPr>
        <b/>
        <sz val="8"/>
        <rFont val="Arial"/>
        <family val="2"/>
      </rPr>
      <t>next change - 25 yrs</t>
    </r>
  </si>
  <si>
    <r>
      <t>PLEASANTON</t>
    </r>
    <r>
      <rPr>
        <vertAlign val="superscript"/>
        <sz val="8"/>
        <rFont val="Arial"/>
        <family val="2"/>
      </rPr>
      <t xml:space="preserve"> (13-14)</t>
    </r>
  </si>
  <si>
    <r>
      <t>SAN RAMON</t>
    </r>
    <r>
      <rPr>
        <vertAlign val="superscript"/>
        <sz val="9"/>
        <rFont val="Arial Narrow"/>
        <family val="2"/>
      </rPr>
      <t>(13-14)</t>
    </r>
  </si>
  <si>
    <r>
      <t>SAN RAMON</t>
    </r>
    <r>
      <rPr>
        <vertAlign val="superscript"/>
        <sz val="8"/>
        <rFont val="Arial"/>
        <family val="2"/>
      </rPr>
      <t>(13-14)</t>
    </r>
  </si>
  <si>
    <r>
      <t>BASED ON THE 2013-14 SCHOOL YEAR (</t>
    </r>
    <r>
      <rPr>
        <sz val="8"/>
        <rFont val="Arial Narrow"/>
        <family val="2"/>
      </rPr>
      <t>BASED ON COMPARATIVE CLERICAL POSTIONS)</t>
    </r>
  </si>
  <si>
    <r>
      <t>WEST CC</t>
    </r>
    <r>
      <rPr>
        <vertAlign val="superscript"/>
        <sz val="8"/>
        <rFont val="Arial"/>
        <family val="2"/>
      </rPr>
      <t xml:space="preserve"> (13-14)</t>
    </r>
  </si>
  <si>
    <r>
      <t>NCS CHAMPIONSHIP EVENTS COORDINATOR</t>
    </r>
    <r>
      <rPr>
        <b/>
        <vertAlign val="superscript"/>
        <sz val="10"/>
        <rFont val="Arial"/>
        <family val="2"/>
      </rPr>
      <t xml:space="preserve"> </t>
    </r>
    <r>
      <rPr>
        <b/>
        <sz val="10"/>
        <rFont val="Arial"/>
        <family val="2"/>
      </rPr>
      <t>SALARY COMPUTATION FOR THE 2014-15 YEAR</t>
    </r>
  </si>
  <si>
    <r>
      <t xml:space="preserve">1 </t>
    </r>
    <r>
      <rPr>
        <sz val="8"/>
        <rFont val="Arial"/>
        <family val="2"/>
      </rPr>
      <t xml:space="preserve"> Employment in current position with NCS Nov 2014 on step 6 of the NCS Salary Schedule</t>
    </r>
  </si>
  <si>
    <r>
      <t xml:space="preserve">NCS SOUVENIR/ACCOUNTS RECEIVABLE CLERK SALARY COMPUTATION FOR THE 2014-15 YEAR </t>
    </r>
    <r>
      <rPr>
        <b/>
        <vertAlign val="superscript"/>
        <sz val="10"/>
        <rFont val="Arial"/>
        <family val="2"/>
      </rPr>
      <t>1</t>
    </r>
  </si>
  <si>
    <r>
      <t>SAN LEANDRO</t>
    </r>
    <r>
      <rPr>
        <vertAlign val="superscript"/>
        <sz val="8"/>
        <rFont val="Arial"/>
        <family val="2"/>
      </rPr>
      <t>(13-14)</t>
    </r>
  </si>
  <si>
    <t>6 yr 2%, 12 yr, 4% Masters=$1775</t>
  </si>
  <si>
    <t>final 05/08/14</t>
  </si>
  <si>
    <r>
      <t xml:space="preserve"> </t>
    </r>
    <r>
      <rPr>
        <b/>
        <sz val="8"/>
        <rFont val="Arial"/>
        <family val="2"/>
      </rPr>
      <t>next change - 28 yrs</t>
    </r>
  </si>
  <si>
    <r>
      <t>SAN LEANDRO</t>
    </r>
    <r>
      <rPr>
        <vertAlign val="superscript"/>
        <sz val="9"/>
        <rFont val="Arial Narrow"/>
        <family val="2"/>
      </rPr>
      <t>(13-14)</t>
    </r>
  </si>
  <si>
    <t>Average</t>
  </si>
  <si>
    <t>Total</t>
  </si>
  <si>
    <t>West CCC</t>
  </si>
  <si>
    <t>Mt Diablo</t>
  </si>
  <si>
    <t>Calculated Increase</t>
  </si>
  <si>
    <t>Base</t>
  </si>
  <si>
    <t>Year</t>
  </si>
  <si>
    <t>% to base</t>
  </si>
  <si>
    <r>
      <t>ALAMEDA</t>
    </r>
    <r>
      <rPr>
        <vertAlign val="superscript"/>
        <sz val="8"/>
        <rFont val="Arial"/>
        <family val="2"/>
      </rPr>
      <t xml:space="preserve">(14-15) </t>
    </r>
  </si>
  <si>
    <t xml:space="preserve">BASED ON EQUIVALENT POSITIONS SALARY SCHEDULES - SALARY SCHEDULES  OF THE 10 BASE SCHOOL DISTRICTS                                 </t>
  </si>
  <si>
    <t>Yr 8</t>
  </si>
  <si>
    <t>Yr 9</t>
  </si>
  <si>
    <t xml:space="preserve">Accounting Supervisor/Senior Accountant </t>
  </si>
  <si>
    <r>
      <t xml:space="preserve">BASED ON THE 2014-15 SCHOOLYEAR </t>
    </r>
    <r>
      <rPr>
        <sz val="10"/>
        <rFont val="Arial"/>
        <family val="2"/>
      </rPr>
      <t>(Based on 260 Days)</t>
    </r>
  </si>
  <si>
    <t>Mgr Accounting/Supervisor Payroll (+$1012 BA)</t>
  </si>
  <si>
    <t>LONG.: At 5yrs +1%, after12 yrs +1%, after 20 yrs +2%, BA=$1012</t>
  </si>
  <si>
    <r>
      <t>FREMONT</t>
    </r>
    <r>
      <rPr>
        <vertAlign val="superscript"/>
        <sz val="8"/>
        <rFont val="Arial"/>
        <family val="2"/>
      </rPr>
      <t>(14/15)</t>
    </r>
  </si>
  <si>
    <r>
      <t>MARTINEZ</t>
    </r>
    <r>
      <rPr>
        <vertAlign val="superscript"/>
        <sz val="8"/>
        <rFont val="Arial"/>
        <family val="2"/>
      </rPr>
      <t>(14-15)</t>
    </r>
  </si>
  <si>
    <t>as of  07/01/15 = Step 10, yr 9</t>
  </si>
  <si>
    <t>LONG. CUM. 6 yr.+2%;  9 yr +4% from hire date 06/07</t>
  </si>
  <si>
    <r>
      <t xml:space="preserve">MT DIABLO </t>
    </r>
    <r>
      <rPr>
        <vertAlign val="superscript"/>
        <sz val="8"/>
        <rFont val="Arial"/>
        <family val="2"/>
      </rPr>
      <t>(14-15)</t>
    </r>
  </si>
  <si>
    <t>No long for principals, Masters = $1000</t>
  </si>
  <si>
    <t>LONG. 3% At step 9,  3% at step 12; $200 At step 15.</t>
  </si>
  <si>
    <t>accounting supervisor</t>
  </si>
  <si>
    <t>accounting mgr\payroll supervisor</t>
  </si>
  <si>
    <t>supervisor, accounting\payroll</t>
  </si>
  <si>
    <t>accounting supervisor\senior acct</t>
  </si>
  <si>
    <t>internal auditor</t>
  </si>
  <si>
    <t>facilities planner</t>
  </si>
  <si>
    <t>senior accountant</t>
  </si>
  <si>
    <t>coordinator</t>
  </si>
  <si>
    <t>request pending</t>
  </si>
  <si>
    <t>AVG/YR FOR 220 DAYS</t>
  </si>
  <si>
    <t>SALARY-AVG/DAY FOR 220 DAYS</t>
  </si>
  <si>
    <t>AVG/YR FOR 210.35 DAYS</t>
  </si>
  <si>
    <t>SALARY-AVG/DAY FOR 210.35 DAYS</t>
  </si>
  <si>
    <t>SALARY-AVG/DAY FOR 203.5 DAYS</t>
  </si>
  <si>
    <t>AVG/YR FOR 203.5 DAYS</t>
  </si>
  <si>
    <t>operations supervisor</t>
  </si>
  <si>
    <t xml:space="preserve">AVG/YR </t>
  </si>
  <si>
    <t>SALARY-AVG/DAY</t>
  </si>
  <si>
    <t>SALARY-AVG/YR FOR .75 FTE</t>
  </si>
  <si>
    <t xml:space="preserve">BASED ON SUPERVISOR/SENIOR ACCOUNTANT LEVEL EQUIVALENT - SALARY SCHEDULES  OF THE 10 BASE SCHOOL DISTRICTS                                 </t>
  </si>
  <si>
    <t>in process 04/13/15</t>
  </si>
  <si>
    <r>
      <t>SAN LEANDRO</t>
    </r>
    <r>
      <rPr>
        <vertAlign val="superscript"/>
        <sz val="8"/>
        <rFont val="Arial"/>
        <family val="2"/>
      </rPr>
      <t>(13-14)3</t>
    </r>
  </si>
  <si>
    <r>
      <t>ACALANES</t>
    </r>
    <r>
      <rPr>
        <vertAlign val="superscript"/>
        <sz val="8"/>
        <rFont val="Arial"/>
        <family val="2"/>
      </rPr>
      <t>(13-14)3</t>
    </r>
  </si>
  <si>
    <r>
      <t>ANTIOCH</t>
    </r>
    <r>
      <rPr>
        <vertAlign val="superscript"/>
        <sz val="8"/>
        <rFont val="Arial"/>
        <family val="2"/>
      </rPr>
      <t>(13-14)</t>
    </r>
  </si>
  <si>
    <t>Coordinator</t>
  </si>
  <si>
    <t>Supervisor, Accounting/Payroll</t>
  </si>
  <si>
    <t>Accounting Supervisor</t>
  </si>
  <si>
    <t>Internal Auditor</t>
  </si>
  <si>
    <t>Facilities Planner</t>
  </si>
  <si>
    <t>Operations Supervisor</t>
  </si>
  <si>
    <t>Senior Accountant</t>
  </si>
  <si>
    <t xml:space="preserve">NCS ACCOUNTANT SALARY COMPUTATION FOR THE 2015-16 YEAR                                                                                                                                                                          </t>
  </si>
  <si>
    <t>COMMISIONER</t>
  </si>
  <si>
    <t>ASSOC COMM</t>
  </si>
  <si>
    <t>ASSIT COMM</t>
  </si>
  <si>
    <t>Long 9</t>
  </si>
  <si>
    <t>The Accountant's salary was developed from a customized schedule to conform to the 1997-98 budget and is adjusted for each fiscal year. This adjustment is reached by taking an average percentage per step for NCS admin positions for the current school year in 2014/15 (clerical base was used from 97/98 - 13/14)</t>
  </si>
  <si>
    <t>AVERAGE OVERALL % INCREASE FOR NCS ADMIN</t>
  </si>
  <si>
    <t>Long (9)</t>
  </si>
  <si>
    <r>
      <t>ACALANES</t>
    </r>
    <r>
      <rPr>
        <vertAlign val="superscript"/>
        <sz val="8"/>
        <rFont val="Arial"/>
        <family val="2"/>
      </rPr>
      <t>(15-16)</t>
    </r>
  </si>
  <si>
    <r>
      <t>ACALANES</t>
    </r>
    <r>
      <rPr>
        <vertAlign val="superscript"/>
        <sz val="8"/>
        <rFont val="Arial"/>
        <family val="2"/>
      </rPr>
      <t>(15-16</t>
    </r>
  </si>
  <si>
    <r>
      <t>ANTIOCH</t>
    </r>
    <r>
      <rPr>
        <vertAlign val="superscript"/>
        <sz val="8"/>
        <rFont val="Arial"/>
        <family val="2"/>
      </rPr>
      <t>(15-16)</t>
    </r>
  </si>
  <si>
    <t>LONG. CUM. 9 yr.+4%; 12 yr +6%,  15 yr +8% from hire date 01/01,  Masters=$1000</t>
  </si>
  <si>
    <t>LONG. CUM. 15 yr.+8%;  18 yr +10%; 21 yr +12% from hire date 2/96,  Masters=$1000</t>
  </si>
  <si>
    <t>LONG. CUM. 6 yr.+2%;  9 yr +4% from hire date 09/08,  Masters=$1000</t>
  </si>
  <si>
    <r>
      <t xml:space="preserve">MT DIABLO </t>
    </r>
    <r>
      <rPr>
        <vertAlign val="superscript"/>
        <sz val="8"/>
        <rFont val="Arial"/>
        <family val="2"/>
      </rPr>
      <t>(15-16)</t>
    </r>
  </si>
  <si>
    <r>
      <t>PLEASANTON</t>
    </r>
    <r>
      <rPr>
        <vertAlign val="superscript"/>
        <sz val="8"/>
        <rFont val="Arial"/>
        <family val="2"/>
      </rPr>
      <t xml:space="preserve"> (15-16)</t>
    </r>
  </si>
  <si>
    <t>LONG = 10-14 yr - $750, 15 yr $1000</t>
  </si>
  <si>
    <r>
      <t>WEST CC</t>
    </r>
    <r>
      <rPr>
        <vertAlign val="superscript"/>
        <sz val="8"/>
        <rFont val="Arial"/>
        <family val="2"/>
      </rPr>
      <t xml:space="preserve"> (15-16)</t>
    </r>
  </si>
  <si>
    <r>
      <t>SAN RAMON</t>
    </r>
    <r>
      <rPr>
        <vertAlign val="superscript"/>
        <sz val="8"/>
        <rFont val="Arial"/>
        <family val="2"/>
      </rPr>
      <t>(15-16)</t>
    </r>
  </si>
  <si>
    <t>LONG. 3% At step 9,  3% at step 12; $200 At step 15. Masters $2,478</t>
  </si>
  <si>
    <t>LONG. 3% At step 9,  3% at step 12; $200 At step 15., Masters =$2478</t>
  </si>
  <si>
    <t>2015/16</t>
  </si>
  <si>
    <t>AVE % INCREASE FOR 2015/16</t>
  </si>
  <si>
    <t>Long 10</t>
  </si>
  <si>
    <t xml:space="preserve">new base for 2016-2017 @105% of old base </t>
  </si>
  <si>
    <t>completed 04/18/16</t>
  </si>
  <si>
    <r>
      <t xml:space="preserve">BASED ON THE 2016-17 SCHOOLYEAR </t>
    </r>
    <r>
      <rPr>
        <sz val="10"/>
        <rFont val="Arial"/>
        <family val="2"/>
      </rPr>
      <t>(Based on 240 Days)</t>
    </r>
  </si>
  <si>
    <t>Long (10)</t>
  </si>
  <si>
    <t>Masters=$1611</t>
  </si>
  <si>
    <r>
      <t>ALAMEDA</t>
    </r>
    <r>
      <rPr>
        <vertAlign val="superscript"/>
        <sz val="8"/>
        <rFont val="Arial"/>
        <family val="2"/>
      </rPr>
      <t xml:space="preserve">(16-17) </t>
    </r>
  </si>
  <si>
    <t>as of  09/01/17 = Step 10, yr 10</t>
  </si>
  <si>
    <t>as of  08/01/17 = Step 13, yr 10, NCS serv yr 16 in '17</t>
  </si>
  <si>
    <t xml:space="preserve"> as of 8/1/17= Step 14, yr 10; ncs serv yr 21 in'17</t>
  </si>
  <si>
    <t>LONG.: After 5yrs +1%, after12 yrs +1%, after 20 yrs +2%, Masters=$1450</t>
  </si>
  <si>
    <r>
      <t>NCS COMMISSIONER SALARY COMPUTATION FOR THE 2017-18 SCHOOL YEAR</t>
    </r>
    <r>
      <rPr>
        <b/>
        <vertAlign val="superscript"/>
        <sz val="10"/>
        <rFont val="Arial"/>
        <family val="2"/>
      </rPr>
      <t>1 &amp; 2</t>
    </r>
  </si>
  <si>
    <r>
      <t>NCS ASSOCIATE COMMISSIONER</t>
    </r>
    <r>
      <rPr>
        <b/>
        <vertAlign val="superscript"/>
        <sz val="10"/>
        <rFont val="Arial"/>
        <family val="2"/>
      </rPr>
      <t xml:space="preserve">1, 2 </t>
    </r>
    <r>
      <rPr>
        <b/>
        <sz val="10"/>
        <rFont val="Arial"/>
        <family val="2"/>
      </rPr>
      <t>SALARY COMPUTATION FOR THE 2017-18 YEAR                                                                                                                                                                           BASED ON THE 2016-17 SCHOOL YEAR (Based on 240 DAYS)</t>
    </r>
  </si>
  <si>
    <t xml:space="preserve">NCS ASSISTANT COMMISSIONER SALARY COMPUTATION FOR THE 2017-18 YEAR                                                                                                                                                                          </t>
  </si>
  <si>
    <r>
      <t xml:space="preserve">BASED ON THE 2016-2017 SCHOOLYEAR </t>
    </r>
    <r>
      <rPr>
        <sz val="10"/>
        <rFont val="Arial"/>
        <family val="2"/>
      </rPr>
      <t>(Based on 220 Days)</t>
    </r>
  </si>
  <si>
    <t>LONG.: At 5yrs +1%, after12 yrs +1%, after 20 yrs +2%, Masters=$1450</t>
  </si>
  <si>
    <r>
      <t>FREMONT</t>
    </r>
    <r>
      <rPr>
        <vertAlign val="superscript"/>
        <sz val="8"/>
        <rFont val="Arial"/>
        <family val="2"/>
      </rPr>
      <t>(16-17)</t>
    </r>
  </si>
  <si>
    <t>Col 14 - @  12 yrs, Col 18-@16 yrs, Col 22 @ 20 yrs service w/ NCS</t>
  </si>
  <si>
    <t>Col 10 - @  8 yrs, Col 14-@12 yrs, Col 22 @ 20 yrs service w/ NCS</t>
  </si>
  <si>
    <r>
      <t>MARTINEZ</t>
    </r>
    <r>
      <rPr>
        <vertAlign val="superscript"/>
        <sz val="8"/>
        <rFont val="Arial"/>
        <family val="2"/>
      </rPr>
      <t>(16-17)</t>
    </r>
  </si>
  <si>
    <r>
      <t xml:space="preserve">MT DIABLO </t>
    </r>
    <r>
      <rPr>
        <vertAlign val="superscript"/>
        <sz val="8"/>
        <rFont val="Arial"/>
        <family val="2"/>
      </rPr>
      <t>(16-17)</t>
    </r>
  </si>
  <si>
    <r>
      <t>WEST CC</t>
    </r>
    <r>
      <rPr>
        <vertAlign val="superscript"/>
        <sz val="8"/>
        <rFont val="Arial"/>
        <family val="2"/>
      </rPr>
      <t xml:space="preserve"> (16-17)</t>
    </r>
  </si>
  <si>
    <r>
      <t>SAN LEANDRO</t>
    </r>
    <r>
      <rPr>
        <vertAlign val="superscript"/>
        <sz val="8"/>
        <rFont val="Arial"/>
        <family val="2"/>
      </rPr>
      <t>(16-17)</t>
    </r>
  </si>
  <si>
    <t>6 yr 2%, 12 yr, 4% Masters=$1951</t>
  </si>
  <si>
    <t>LONG. 3% At step 9,  3% at step 12; $200 At step 15., Masters =$2604</t>
  </si>
  <si>
    <t xml:space="preserve"> The BOM on April 5, 2016 approved the NCS Commissioner Salary to be based upon 105% of the Principals salaries (adjusted to 240 work year) for the 10 base districts.</t>
  </si>
  <si>
    <t>(yr 11 as of 06/01/17)</t>
  </si>
  <si>
    <t>.75 FTE position - 15/16 salary</t>
  </si>
  <si>
    <t>ACCOUNTANT 2015/16 SALARY SCHEDULE</t>
  </si>
  <si>
    <t>2016/17 SALARY SCHEDULE FOR ACCOUNTANT</t>
  </si>
  <si>
    <t>Long 11</t>
  </si>
  <si>
    <t>Long Adjust for Laura - Accountant (based on clerical long)</t>
  </si>
  <si>
    <t>No LONG. (Director II), Masters=1207</t>
  </si>
  <si>
    <t>N0 LONG.  Masters =- $1207</t>
  </si>
  <si>
    <t>NO LONG.  Masters=$1207</t>
  </si>
  <si>
    <t>no change from last yeat</t>
  </si>
  <si>
    <t>completed 05/09/17</t>
  </si>
  <si>
    <t>NCS ADMIN SALARY % INCREASE FROM 2015-16 TO 2016-17</t>
  </si>
  <si>
    <t>ACCOUNTANT'S SALARY FOR 2015/16</t>
  </si>
  <si>
    <t>all other steps were calculated using the avg. increase for each step of the admin staff - see -16/17  NCS Salary schedule for calculations of Steps 1-9</t>
  </si>
  <si>
    <t>USED TO ESTABLISH ACCOUNTANT'S INCREASE FOR 2016-17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</si>
</sst>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164" formatCode="_-* #,##0.00_-;\-* #,##0.00_-;_-* &quot;-&quot;??_-;_-@_-"/>
    <numFmt numFmtId="165" formatCode="#,##0_ ;\-#,##0\ "/>
    <numFmt numFmtId="166" formatCode="#,##0.0"/>
    <numFmt numFmtId="167" formatCode="&quot;$&quot;#,##0"/>
    <numFmt numFmtId="168" formatCode="_-* #,##0_-;\-* #,##0_-;_-* &quot;-&quot;??_-;_-@_-"/>
    <numFmt numFmtId="169" formatCode="&quot;$&quot;#,##0.00"/>
    <numFmt numFmtId="170" formatCode="0.0%"/>
    <numFmt numFmtId="171" formatCode="_(&quot;$&quot;* #,##0_);_(&quot;$&quot;* \(#,##0\);_(&quot;$&quot;* &quot;-&quot;??_);_(@_)"/>
  </numFmts>
  <fonts count="36">
    <font>
      <sz val="10"/>
      <name val="Arial"/>
      <family val="2"/>
    </font>
    <font>
      <sz val="8"/>
      <name val="Arial"/>
      <family val="2"/>
    </font>
    <font>
      <b/>
      <sz val="8"/>
      <name val="Arial"/>
      <family val="2"/>
    </font>
    <font>
      <b/>
      <sz val="7"/>
      <name val="Arial"/>
      <family val="2"/>
    </font>
    <font>
      <b/>
      <sz val="10"/>
      <name val="Arial"/>
      <family val="2"/>
    </font>
    <font>
      <vertAlign val="superscript"/>
      <sz val="8"/>
      <name val="Arial"/>
      <family val="2"/>
    </font>
    <font>
      <b/>
      <vertAlign val="superscript"/>
      <sz val="8"/>
      <name val="Arial"/>
      <family val="2"/>
    </font>
    <font>
      <b/>
      <vertAlign val="superscript"/>
      <sz val="10"/>
      <name val="Arial"/>
      <family val="2"/>
    </font>
    <font>
      <sz val="7"/>
      <name val="Arial Narrow"/>
      <family val="2"/>
    </font>
    <font>
      <sz val="10"/>
      <color indexed="12"/>
      <name val="Arial"/>
      <family val="2"/>
    </font>
    <font>
      <sz val="7"/>
      <name val="Arial"/>
      <family val="2"/>
    </font>
    <font>
      <sz val="9"/>
      <name val="Arial Narrow"/>
      <family val="2"/>
    </font>
    <font>
      <sz val="8"/>
      <name val="Arial Narrow"/>
      <family val="2"/>
    </font>
    <font>
      <sz val="10"/>
      <name val="Arial Narrow"/>
      <family val="2"/>
    </font>
    <font>
      <vertAlign val="superscript"/>
      <sz val="9"/>
      <name val="Arial Narrow"/>
      <family val="2"/>
    </font>
    <font>
      <b/>
      <vertAlign val="superscript"/>
      <sz val="9"/>
      <name val="Arial Narrow"/>
      <family val="2"/>
    </font>
    <font>
      <b/>
      <sz val="9"/>
      <name val="Arial Narrow"/>
      <family val="2"/>
    </font>
    <font>
      <i/>
      <sz val="9"/>
      <name val="Arial Narrow"/>
      <family val="2"/>
    </font>
    <font>
      <vertAlign val="superscript"/>
      <sz val="10"/>
      <name val="Arial"/>
      <family val="2"/>
    </font>
    <font>
      <sz val="9"/>
      <name val="Arial"/>
      <family val="2"/>
    </font>
    <font>
      <b/>
      <vertAlign val="superscript"/>
      <sz val="9"/>
      <name val="Arial"/>
      <family val="2"/>
    </font>
    <font>
      <sz val="14"/>
      <name val="Arial"/>
      <family val="2"/>
    </font>
    <font>
      <sz val="11"/>
      <name val="Arial Narrow"/>
      <family val="2"/>
    </font>
    <font>
      <sz val="10"/>
      <name val="Univers Condensed"/>
      <family val="2"/>
    </font>
    <font>
      <b/>
      <sz val="10"/>
      <name val="Univers Condensed"/>
      <family val="2"/>
    </font>
    <font>
      <b/>
      <sz val="12"/>
      <name val="Univers Condensed"/>
      <family val="2"/>
    </font>
    <font>
      <sz val="8"/>
      <name val="Univers Condensed"/>
      <family val="2"/>
    </font>
    <font>
      <sz val="9"/>
      <name val="Tahoma"/>
      <family val="2"/>
    </font>
    <font>
      <b/>
      <sz val="9"/>
      <name val="Tahoma"/>
      <family val="2"/>
    </font>
    <font>
      <vertAlign val="superscript"/>
      <sz val="6"/>
      <name val="Arial"/>
      <family val="2"/>
    </font>
    <font>
      <sz val="10"/>
      <color rgb="FFFF0000"/>
      <name val="Arial"/>
      <family val="2"/>
    </font>
    <font>
      <sz val="10"/>
      <color rgb="FF0000FF"/>
      <name val="Arial"/>
      <family val="2"/>
    </font>
    <font>
      <b/>
      <sz val="8"/>
      <color rgb="FF0000FF"/>
      <name val="Arial"/>
      <family val="2"/>
    </font>
    <font>
      <b/>
      <sz val="10"/>
      <color rgb="FF0000FF"/>
      <name val="Arial"/>
      <family val="2"/>
    </font>
    <font>
      <b/>
      <u val="single"/>
      <sz val="10"/>
      <name val="Arial"/>
      <family val="2"/>
    </font>
    <font>
      <b/>
      <sz val="9"/>
      <name val="Univers Condensed"/>
      <family val="2"/>
    </font>
  </fonts>
  <fills count="2">
    <fill>
      <patternFill/>
    </fill>
    <fill>
      <patternFill patternType="gray125"/>
    </fill>
  </fills>
  <borders count="30">
    <border>
      <left/>
      <right/>
      <top/>
      <bottom/>
      <diagonal/>
    </border>
    <border>
      <left style="thin"/>
      <right style="thin"/>
      <top style="thin"/>
      <bottom style="thin"/>
    </border>
    <border>
      <left style="thin"/>
      <right style="thin"/>
      <top style="double"/>
      <bottom style="thin"/>
    </border>
    <border>
      <left style="thin"/>
      <right style="thin"/>
      <top/>
      <bottom/>
    </border>
    <border>
      <left style="thin"/>
      <right/>
      <top style="thin"/>
      <bottom style="thin"/>
    </border>
    <border>
      <left/>
      <right style="thin"/>
      <top style="thin"/>
      <bottom/>
    </border>
    <border>
      <left/>
      <right style="thin"/>
      <top/>
      <bottom/>
    </border>
    <border>
      <left/>
      <right/>
      <top/>
      <bottom style="thin"/>
    </border>
    <border>
      <left/>
      <right style="thin"/>
      <top/>
      <bottom style="thin"/>
    </border>
    <border>
      <left style="thin"/>
      <right style="thin"/>
      <top style="thin"/>
      <bottom/>
    </border>
    <border>
      <left/>
      <right/>
      <top style="double"/>
      <bottom/>
    </border>
    <border>
      <left style="double"/>
      <right style="thin"/>
      <top style="double"/>
      <bottom style="thin"/>
    </border>
    <border>
      <left style="thin"/>
      <right style="double"/>
      <top style="double"/>
      <bottom style="thin"/>
    </border>
    <border>
      <left style="double"/>
      <right style="thin"/>
      <top style="thin"/>
      <bottom/>
    </border>
    <border>
      <left style="thin"/>
      <right style="double"/>
      <top style="thin"/>
      <bottom/>
    </border>
    <border>
      <left style="double"/>
      <right style="thin"/>
      <top style="thin"/>
      <bottom style="thin"/>
    </border>
    <border>
      <left/>
      <right/>
      <top style="thin"/>
      <bottom style="thin"/>
    </border>
    <border>
      <left style="thin"/>
      <right style="thin"/>
      <top style="thin"/>
      <bottom style="double"/>
    </border>
    <border>
      <left style="double"/>
      <right style="thin"/>
      <top style="thin"/>
      <bottom style="double"/>
    </border>
    <border>
      <left style="double"/>
      <right style="thin"/>
      <top style="double"/>
      <bottom style="thick"/>
    </border>
    <border>
      <left style="thin"/>
      <right style="double"/>
      <top style="thin"/>
      <bottom style="thin"/>
    </border>
    <border>
      <left/>
      <right style="thin"/>
      <top/>
      <bottom style="medium"/>
    </border>
    <border>
      <left style="thin"/>
      <right style="thin"/>
      <top style="double"/>
      <bottom style="thick"/>
    </border>
    <border>
      <left/>
      <right/>
      <top style="thin"/>
      <bottom/>
    </border>
    <border>
      <left style="double"/>
      <right/>
      <top/>
      <bottom/>
    </border>
    <border>
      <left style="thin"/>
      <right/>
      <top/>
      <bottom/>
    </border>
    <border>
      <left/>
      <right/>
      <top/>
      <bottom style="double"/>
    </border>
    <border>
      <left/>
      <right style="thin"/>
      <top style="thin"/>
      <bottom style="thin"/>
    </border>
    <border>
      <left style="thin"/>
      <right/>
      <top style="thin"/>
      <bottom/>
    </border>
    <border>
      <left style="thin"/>
      <right/>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cellStyleXfs>
  <cellXfs count="252">
    <xf numFmtId="0" fontId="0" fillId="0" borderId="0" xfId="0"/>
    <xf numFmtId="0" fontId="0" fillId="0" borderId="1" xfId="0" applyBorder="1"/>
    <xf numFmtId="0" fontId="2" fillId="0" borderId="1" xfId="0" applyFont="1" applyBorder="1"/>
    <xf numFmtId="0" fontId="2" fillId="0" borderId="1" xfId="0" applyFont="1" applyFill="1" applyBorder="1"/>
    <xf numFmtId="3" fontId="0" fillId="0" borderId="1" xfId="0" applyNumberFormat="1" applyBorder="1"/>
    <xf numFmtId="0" fontId="1" fillId="0" borderId="1" xfId="0" applyFont="1" applyBorder="1" applyAlignment="1">
      <alignment wrapText="1"/>
    </xf>
    <xf numFmtId="165" fontId="0" fillId="0" borderId="1" xfId="0" applyNumberFormat="1" applyBorder="1"/>
    <xf numFmtId="166" fontId="0" fillId="0" borderId="1" xfId="0" applyNumberFormat="1" applyBorder="1"/>
    <xf numFmtId="4" fontId="0" fillId="0" borderId="1" xfId="0" applyNumberFormat="1" applyBorder="1"/>
    <xf numFmtId="0" fontId="8" fillId="0" borderId="1" xfId="0" applyFont="1" applyBorder="1" applyAlignment="1">
      <alignment wrapText="1"/>
    </xf>
    <xf numFmtId="165" fontId="8" fillId="0" borderId="1" xfId="0" applyNumberFormat="1" applyFont="1" applyBorder="1"/>
    <xf numFmtId="0" fontId="4" fillId="0" borderId="1" xfId="0" applyFont="1" applyBorder="1"/>
    <xf numFmtId="0" fontId="0" fillId="0" borderId="1" xfId="0" applyBorder="1" applyAlignment="1">
      <alignment wrapText="1"/>
    </xf>
    <xf numFmtId="167" fontId="0" fillId="0" borderId="1" xfId="0" applyNumberFormat="1" applyBorder="1"/>
    <xf numFmtId="0" fontId="2" fillId="0" borderId="1" xfId="0" applyFont="1" applyBorder="1" applyAlignment="1">
      <alignment wrapText="1"/>
    </xf>
    <xf numFmtId="3" fontId="4" fillId="0" borderId="1" xfId="0" applyNumberFormat="1" applyFont="1" applyBorder="1"/>
    <xf numFmtId="0" fontId="4" fillId="0" borderId="0" xfId="0" applyFont="1"/>
    <xf numFmtId="0" fontId="0" fillId="0" borderId="0" xfId="0" applyFont="1"/>
    <xf numFmtId="3" fontId="9" fillId="0" borderId="1" xfId="0" applyNumberFormat="1" applyFont="1" applyBorder="1"/>
    <xf numFmtId="3" fontId="0" fillId="0" borderId="1" xfId="0" applyNumberFormat="1" applyFont="1" applyBorder="1"/>
    <xf numFmtId="0" fontId="1" fillId="0" borderId="0" xfId="0" applyFont="1" applyAlignment="1">
      <alignment/>
    </xf>
    <xf numFmtId="0" fontId="0" fillId="0" borderId="0" xfId="0" applyAlignment="1">
      <alignment wrapText="1"/>
    </xf>
    <xf numFmtId="0" fontId="0" fillId="0" borderId="0" xfId="0" applyAlignment="1">
      <alignment horizontal="center"/>
    </xf>
    <xf numFmtId="0" fontId="0" fillId="0" borderId="1" xfId="0" applyBorder="1" applyAlignment="1">
      <alignment horizontal="center"/>
    </xf>
    <xf numFmtId="3" fontId="0" fillId="0" borderId="1" xfId="0" applyNumberFormat="1" applyFill="1" applyBorder="1"/>
    <xf numFmtId="0" fontId="1" fillId="0" borderId="1" xfId="0" applyFont="1" applyBorder="1"/>
    <xf numFmtId="0" fontId="4" fillId="0" borderId="1" xfId="0" applyFont="1" applyBorder="1" applyAlignment="1">
      <alignment horizontal="center"/>
    </xf>
    <xf numFmtId="0" fontId="1" fillId="0" borderId="2" xfId="0" applyFont="1" applyBorder="1"/>
    <xf numFmtId="0" fontId="0" fillId="0" borderId="2" xfId="0" applyBorder="1" applyAlignment="1">
      <alignment horizontal="center"/>
    </xf>
    <xf numFmtId="3" fontId="11" fillId="0" borderId="2" xfId="0" applyNumberFormat="1" applyFont="1" applyBorder="1"/>
    <xf numFmtId="3" fontId="12" fillId="0" borderId="2" xfId="0" applyNumberFormat="1" applyFont="1" applyBorder="1"/>
    <xf numFmtId="0" fontId="0" fillId="0" borderId="2" xfId="0" applyBorder="1"/>
    <xf numFmtId="3" fontId="11" fillId="0" borderId="1" xfId="0" applyNumberFormat="1" applyFont="1" applyBorder="1"/>
    <xf numFmtId="3" fontId="12" fillId="0" borderId="1" xfId="0" applyNumberFormat="1" applyFont="1" applyBorder="1"/>
    <xf numFmtId="0" fontId="1" fillId="0" borderId="1" xfId="0" applyFont="1" applyBorder="1" applyAlignment="1">
      <alignment horizontal="left" wrapText="1"/>
    </xf>
    <xf numFmtId="4" fontId="11" fillId="0" borderId="1" xfId="0" applyNumberFormat="1" applyFont="1" applyBorder="1"/>
    <xf numFmtId="0" fontId="0" fillId="0" borderId="1" xfId="0" applyBorder="1" applyAlignment="1">
      <alignment vertical="top" wrapText="1"/>
    </xf>
    <xf numFmtId="3" fontId="0" fillId="0" borderId="3" xfId="0" applyNumberFormat="1" applyFill="1" applyBorder="1"/>
    <xf numFmtId="2" fontId="0" fillId="0" borderId="1" xfId="0" applyNumberFormat="1" applyBorder="1"/>
    <xf numFmtId="0" fontId="0" fillId="0" borderId="0" xfId="0" applyAlignment="1">
      <alignment/>
    </xf>
    <xf numFmtId="49" fontId="4" fillId="0" borderId="1" xfId="0" applyNumberFormat="1" applyFont="1" applyBorder="1" applyAlignment="1">
      <alignment wrapText="1"/>
    </xf>
    <xf numFmtId="49" fontId="4" fillId="0" borderId="1" xfId="0" applyNumberFormat="1" applyFont="1" applyFill="1" applyBorder="1" applyAlignment="1">
      <alignment wrapText="1"/>
    </xf>
    <xf numFmtId="0" fontId="11" fillId="0" borderId="1" xfId="0" applyFont="1" applyBorder="1"/>
    <xf numFmtId="0" fontId="4" fillId="0" borderId="0" xfId="0" applyFont="1"/>
    <xf numFmtId="0" fontId="0" fillId="0" borderId="1" xfId="0" applyFill="1" applyBorder="1"/>
    <xf numFmtId="2" fontId="11" fillId="0" borderId="1" xfId="0" applyNumberFormat="1" applyFont="1" applyBorder="1"/>
    <xf numFmtId="2" fontId="11" fillId="0" borderId="4" xfId="0" applyNumberFormat="1" applyFont="1" applyBorder="1"/>
    <xf numFmtId="169" fontId="11" fillId="0" borderId="1" xfId="0" applyNumberFormat="1" applyFont="1" applyBorder="1"/>
    <xf numFmtId="169" fontId="11" fillId="0" borderId="4" xfId="0" applyNumberFormat="1" applyFont="1" applyBorder="1"/>
    <xf numFmtId="1" fontId="11" fillId="0" borderId="1" xfId="0" applyNumberFormat="1" applyFont="1" applyFill="1" applyBorder="1"/>
    <xf numFmtId="3" fontId="16" fillId="0" borderId="1" xfId="0" applyNumberFormat="1" applyFont="1"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20" fillId="0" borderId="0" xfId="0" applyFont="1" applyAlignment="1">
      <alignment/>
    </xf>
    <xf numFmtId="2" fontId="0" fillId="0" borderId="0" xfId="0" applyNumberFormat="1"/>
    <xf numFmtId="0" fontId="18" fillId="0" borderId="0" xfId="0" applyFont="1" applyBorder="1" applyAlignment="1">
      <alignment/>
    </xf>
    <xf numFmtId="0" fontId="0" fillId="0" borderId="0" xfId="0" applyBorder="1" applyAlignment="1">
      <alignment/>
    </xf>
    <xf numFmtId="0" fontId="11" fillId="0" borderId="9" xfId="0" applyFont="1" applyFill="1" applyBorder="1"/>
    <xf numFmtId="3" fontId="0" fillId="0" borderId="9" xfId="0" applyNumberFormat="1" applyBorder="1"/>
    <xf numFmtId="3" fontId="4" fillId="0" borderId="9" xfId="0" applyNumberFormat="1" applyFont="1" applyBorder="1"/>
    <xf numFmtId="0" fontId="0" fillId="0" borderId="9" xfId="0" applyBorder="1"/>
    <xf numFmtId="0" fontId="0" fillId="0" borderId="10" xfId="0" applyBorder="1"/>
    <xf numFmtId="0" fontId="21" fillId="0" borderId="0" xfId="0" applyFont="1" applyAlignment="1">
      <alignment horizontal="centerContinuous"/>
    </xf>
    <xf numFmtId="0" fontId="23" fillId="0" borderId="11" xfId="0" applyFont="1" applyBorder="1"/>
    <xf numFmtId="0" fontId="23" fillId="0" borderId="2" xfId="0" applyFont="1" applyBorder="1"/>
    <xf numFmtId="0" fontId="23" fillId="0" borderId="12" xfId="0" applyFont="1" applyBorder="1"/>
    <xf numFmtId="0" fontId="23" fillId="0" borderId="13" xfId="0" applyFont="1" applyBorder="1"/>
    <xf numFmtId="0" fontId="23" fillId="0" borderId="0" xfId="0" applyFont="1"/>
    <xf numFmtId="0" fontId="23" fillId="0" borderId="9" xfId="0" applyFont="1" applyBorder="1"/>
    <xf numFmtId="0" fontId="23" fillId="0" borderId="14" xfId="0" applyFont="1" applyBorder="1"/>
    <xf numFmtId="0" fontId="23" fillId="0" borderId="15" xfId="0" applyFont="1" applyBorder="1"/>
    <xf numFmtId="0" fontId="23" fillId="0" borderId="16" xfId="0" applyFont="1" applyBorder="1"/>
    <xf numFmtId="10" fontId="23" fillId="0" borderId="1" xfId="0" applyNumberFormat="1" applyFont="1" applyBorder="1" applyAlignment="1">
      <alignment horizontal="center"/>
    </xf>
    <xf numFmtId="0" fontId="23" fillId="0" borderId="0" xfId="0" applyFont="1" applyFill="1" applyBorder="1"/>
    <xf numFmtId="10" fontId="23" fillId="0" borderId="17" xfId="0" applyNumberFormat="1" applyFont="1" applyBorder="1" applyAlignment="1">
      <alignment horizontal="center"/>
    </xf>
    <xf numFmtId="0" fontId="23" fillId="0" borderId="15" xfId="0" applyFont="1" applyBorder="1" applyAlignment="1">
      <alignment wrapText="1"/>
    </xf>
    <xf numFmtId="0" fontId="23" fillId="0" borderId="18" xfId="0" applyFont="1" applyBorder="1" applyAlignment="1">
      <alignment wrapText="1"/>
    </xf>
    <xf numFmtId="0" fontId="24" fillId="0" borderId="19" xfId="0" applyFont="1" applyBorder="1" applyAlignment="1">
      <alignment wrapText="1"/>
    </xf>
    <xf numFmtId="0" fontId="23" fillId="0" borderId="0" xfId="0" applyFont="1" applyAlignment="1">
      <alignment horizontal="center"/>
    </xf>
    <xf numFmtId="0" fontId="23" fillId="0" borderId="2" xfId="0" applyFont="1" applyFill="1" applyBorder="1"/>
    <xf numFmtId="0" fontId="23" fillId="0" borderId="12" xfId="0" applyFont="1" applyFill="1" applyBorder="1"/>
    <xf numFmtId="2" fontId="23" fillId="0" borderId="1" xfId="0" applyNumberFormat="1" applyFont="1" applyBorder="1" applyAlignment="1">
      <alignment horizontal="right"/>
    </xf>
    <xf numFmtId="0" fontId="23" fillId="0" borderId="1" xfId="0" applyFont="1" applyBorder="1" applyAlignment="1">
      <alignment horizontal="right"/>
    </xf>
    <xf numFmtId="0" fontId="23" fillId="0" borderId="20" xfId="0" applyFont="1" applyBorder="1" applyAlignment="1">
      <alignment horizontal="right"/>
    </xf>
    <xf numFmtId="168" fontId="23" fillId="0" borderId="20" xfId="18" applyNumberFormat="1" applyFont="1" applyBorder="1" applyAlignment="1">
      <alignment horizontal="right"/>
    </xf>
    <xf numFmtId="10" fontId="23" fillId="0" borderId="1" xfId="15" applyNumberFormat="1" applyFont="1" applyBorder="1" applyAlignment="1">
      <alignment horizontal="right"/>
    </xf>
    <xf numFmtId="10" fontId="23" fillId="0" borderId="1" xfId="15" applyNumberFormat="1" applyFont="1" applyFill="1" applyBorder="1" applyAlignment="1">
      <alignment horizontal="right"/>
    </xf>
    <xf numFmtId="10" fontId="23" fillId="0" borderId="1" xfId="0" applyNumberFormat="1" applyFont="1" applyBorder="1" applyAlignment="1">
      <alignment horizontal="right"/>
    </xf>
    <xf numFmtId="10" fontId="23" fillId="0" borderId="20" xfId="0" applyNumberFormat="1" applyFont="1" applyBorder="1" applyAlignment="1">
      <alignment horizontal="right"/>
    </xf>
    <xf numFmtId="10" fontId="23" fillId="0" borderId="4" xfId="0" applyNumberFormat="1" applyFont="1" applyBorder="1" applyAlignment="1">
      <alignment horizontal="right"/>
    </xf>
    <xf numFmtId="0" fontId="25" fillId="0" borderId="18" xfId="0" applyFont="1" applyBorder="1" applyAlignment="1">
      <alignment wrapText="1"/>
    </xf>
    <xf numFmtId="2" fontId="25" fillId="0" borderId="17" xfId="0" applyNumberFormat="1" applyFont="1" applyBorder="1" applyAlignment="1">
      <alignment horizontal="right"/>
    </xf>
    <xf numFmtId="1" fontId="25" fillId="0" borderId="17" xfId="0" applyNumberFormat="1" applyFont="1" applyBorder="1" applyAlignment="1">
      <alignment horizontal="right"/>
    </xf>
    <xf numFmtId="0" fontId="23" fillId="0" borderId="0" xfId="0" applyFont="1" applyAlignment="1">
      <alignment wrapText="1"/>
    </xf>
    <xf numFmtId="0" fontId="2" fillId="0" borderId="1" xfId="0" applyFont="1" applyBorder="1" applyAlignment="1">
      <alignment horizontal="center"/>
    </xf>
    <xf numFmtId="0" fontId="2" fillId="0" borderId="1" xfId="0" applyFont="1" applyFill="1" applyBorder="1" applyAlignment="1">
      <alignment horizontal="center"/>
    </xf>
    <xf numFmtId="2" fontId="9" fillId="0" borderId="1" xfId="0" applyNumberFormat="1" applyFont="1" applyBorder="1"/>
    <xf numFmtId="0" fontId="5" fillId="0" borderId="0" xfId="0" applyFont="1" applyFill="1" applyBorder="1" applyAlignment="1">
      <alignment/>
    </xf>
    <xf numFmtId="0" fontId="0" fillId="0" borderId="7" xfId="0" applyBorder="1" applyAlignment="1">
      <alignment/>
    </xf>
    <xf numFmtId="0" fontId="0" fillId="0" borderId="7" xfId="0" applyBorder="1" applyAlignment="1">
      <alignment horizontal="right"/>
    </xf>
    <xf numFmtId="0" fontId="10" fillId="0" borderId="7" xfId="0" applyFont="1" applyBorder="1" applyAlignment="1">
      <alignment horizontal="right"/>
    </xf>
    <xf numFmtId="0" fontId="12" fillId="0" borderId="7" xfId="0" applyFont="1" applyBorder="1" applyAlignment="1">
      <alignment horizontal="right"/>
    </xf>
    <xf numFmtId="3" fontId="0" fillId="0" borderId="9" xfId="0" applyNumberFormat="1" applyFont="1" applyBorder="1"/>
    <xf numFmtId="0" fontId="8" fillId="0" borderId="7" xfId="0" applyFont="1" applyBorder="1" applyAlignment="1">
      <alignment horizontal="right"/>
    </xf>
    <xf numFmtId="0" fontId="5" fillId="0" borderId="0" xfId="0" applyFont="1" applyAlignment="1">
      <alignment vertical="top"/>
    </xf>
    <xf numFmtId="0" fontId="1" fillId="0" borderId="0" xfId="0" applyFont="1" applyAlignment="1">
      <alignment vertical="top"/>
    </xf>
    <xf numFmtId="0" fontId="26" fillId="0" borderId="0" xfId="0" applyFont="1"/>
    <xf numFmtId="2" fontId="0" fillId="0" borderId="1" xfId="0" applyNumberFormat="1" applyFont="1" applyBorder="1"/>
    <xf numFmtId="0" fontId="9" fillId="0" borderId="0" xfId="0" applyFont="1"/>
    <xf numFmtId="2" fontId="0" fillId="0" borderId="1" xfId="0" applyNumberFormat="1" applyFont="1" applyBorder="1"/>
    <xf numFmtId="0" fontId="30" fillId="0" borderId="0" xfId="0" applyFont="1"/>
    <xf numFmtId="0" fontId="1" fillId="0" borderId="1" xfId="0" applyFont="1" applyFill="1" applyBorder="1" applyAlignment="1">
      <alignment wrapText="1"/>
    </xf>
    <xf numFmtId="3" fontId="0" fillId="0" borderId="1" xfId="0" applyNumberFormat="1" applyFont="1" applyFill="1" applyBorder="1"/>
    <xf numFmtId="3" fontId="9" fillId="0" borderId="1" xfId="0" applyNumberFormat="1" applyFont="1" applyFill="1" applyBorder="1"/>
    <xf numFmtId="0" fontId="10" fillId="0" borderId="1" xfId="0" applyFont="1" applyFill="1" applyBorder="1" applyAlignment="1">
      <alignment wrapText="1"/>
    </xf>
    <xf numFmtId="0" fontId="9" fillId="0" borderId="0" xfId="0" applyFont="1"/>
    <xf numFmtId="0" fontId="0" fillId="0" borderId="1" xfId="0" applyFill="1" applyBorder="1" applyAlignment="1">
      <alignment horizontal="center"/>
    </xf>
    <xf numFmtId="0" fontId="0" fillId="0" borderId="0" xfId="0" applyFont="1" quotePrefix="1"/>
    <xf numFmtId="0" fontId="4" fillId="0" borderId="0" xfId="0" applyFont="1" quotePrefix="1"/>
    <xf numFmtId="0" fontId="0" fillId="0" borderId="0" xfId="0" applyFont="1" applyFill="1" applyBorder="1"/>
    <xf numFmtId="16" fontId="0" fillId="0" borderId="0" xfId="0" applyNumberFormat="1" quotePrefix="1"/>
    <xf numFmtId="16" fontId="0" fillId="0" borderId="0" xfId="0" applyNumberFormat="1" applyFont="1" quotePrefix="1"/>
    <xf numFmtId="0" fontId="1" fillId="0" borderId="1" xfId="0" applyFont="1" applyFill="1" applyBorder="1"/>
    <xf numFmtId="3" fontId="0" fillId="0" borderId="1" xfId="0" applyNumberFormat="1" applyFont="1" applyBorder="1"/>
    <xf numFmtId="3" fontId="9" fillId="0" borderId="1" xfId="0" applyNumberFormat="1" applyFont="1" applyBorder="1"/>
    <xf numFmtId="0" fontId="0" fillId="0" borderId="1" xfId="0" applyFont="1" applyBorder="1" applyAlignment="1">
      <alignment horizontal="center"/>
    </xf>
    <xf numFmtId="2" fontId="9" fillId="0" borderId="1" xfId="0" applyNumberFormat="1" applyFont="1" applyBorder="1"/>
    <xf numFmtId="16" fontId="0" fillId="0" borderId="0" xfId="0" applyNumberFormat="1" applyFont="1"/>
    <xf numFmtId="2" fontId="16" fillId="0" borderId="1" xfId="0" applyNumberFormat="1" applyFont="1" applyBorder="1"/>
    <xf numFmtId="0" fontId="7" fillId="0" borderId="0" xfId="0" applyFont="1" applyBorder="1" applyAlignment="1">
      <alignment/>
    </xf>
    <xf numFmtId="0" fontId="0" fillId="0" borderId="0" xfId="0" applyFill="1" applyBorder="1"/>
    <xf numFmtId="49" fontId="0" fillId="0" borderId="0" xfId="0" applyNumberFormat="1" applyFill="1" applyBorder="1" applyAlignment="1">
      <alignment wrapText="1"/>
    </xf>
    <xf numFmtId="0" fontId="8" fillId="0" borderId="0" xfId="0" applyFont="1" applyFill="1" applyBorder="1" applyAlignment="1">
      <alignment wrapText="1"/>
    </xf>
    <xf numFmtId="0" fontId="11" fillId="0" borderId="0" xfId="0" applyFont="1" applyBorder="1" applyAlignment="1">
      <alignment/>
    </xf>
    <xf numFmtId="2" fontId="12" fillId="0" borderId="0" xfId="0" applyNumberFormat="1" applyFont="1" applyBorder="1" applyAlignment="1">
      <alignment/>
    </xf>
    <xf numFmtId="0" fontId="15" fillId="0" borderId="0" xfId="0" applyFont="1" applyBorder="1" applyAlignment="1">
      <alignment vertical="top"/>
    </xf>
    <xf numFmtId="0" fontId="17" fillId="0" borderId="0" xfId="0" applyFont="1" applyBorder="1" applyAlignment="1">
      <alignment vertical="top"/>
    </xf>
    <xf numFmtId="3" fontId="31" fillId="0" borderId="1" xfId="0" applyNumberFormat="1" applyFont="1" applyFill="1" applyBorder="1"/>
    <xf numFmtId="0" fontId="32" fillId="0" borderId="1" xfId="0" applyFont="1" applyBorder="1" applyAlignment="1">
      <alignment horizontal="center"/>
    </xf>
    <xf numFmtId="0" fontId="33" fillId="0" borderId="1" xfId="0" applyFont="1" applyBorder="1" applyAlignment="1">
      <alignment horizontal="center"/>
    </xf>
    <xf numFmtId="3" fontId="31" fillId="0" borderId="1" xfId="0" applyNumberFormat="1" applyFont="1" applyBorder="1"/>
    <xf numFmtId="2" fontId="31" fillId="0" borderId="1" xfId="0" applyNumberFormat="1" applyFont="1" applyBorder="1"/>
    <xf numFmtId="3" fontId="19" fillId="0" borderId="1" xfId="0" applyNumberFormat="1" applyFont="1" applyBorder="1"/>
    <xf numFmtId="0" fontId="3" fillId="0" borderId="1" xfId="0" applyFont="1" applyBorder="1"/>
    <xf numFmtId="0" fontId="0" fillId="0" borderId="21" xfId="0" applyBorder="1"/>
    <xf numFmtId="3" fontId="0" fillId="0" borderId="9" xfId="0" applyNumberFormat="1" applyFont="1" applyBorder="1"/>
    <xf numFmtId="0" fontId="0" fillId="0" borderId="0" xfId="20">
      <alignment/>
      <protection/>
    </xf>
    <xf numFmtId="9" fontId="0" fillId="0" borderId="0" xfId="15" applyFont="1"/>
    <xf numFmtId="44" fontId="4" fillId="0" borderId="0" xfId="21" applyFont="1"/>
    <xf numFmtId="0" fontId="4" fillId="0" borderId="0" xfId="20" applyFont="1">
      <alignment/>
      <protection/>
    </xf>
    <xf numFmtId="44" fontId="0" fillId="0" borderId="16" xfId="21" applyFont="1" applyBorder="1"/>
    <xf numFmtId="44" fontId="0" fillId="0" borderId="0" xfId="21" applyFont="1"/>
    <xf numFmtId="0" fontId="34" fillId="0" borderId="0" xfId="20" applyFont="1">
      <alignment/>
      <protection/>
    </xf>
    <xf numFmtId="170" fontId="0" fillId="0" borderId="0" xfId="20" applyNumberFormat="1">
      <alignment/>
      <protection/>
    </xf>
    <xf numFmtId="170" fontId="0" fillId="0" borderId="0" xfId="15" applyNumberFormat="1" applyFont="1"/>
    <xf numFmtId="0" fontId="34" fillId="0" borderId="0" xfId="20" applyFont="1" applyAlignment="1">
      <alignment horizontal="center"/>
      <protection/>
    </xf>
    <xf numFmtId="0" fontId="24" fillId="0" borderId="0" xfId="0" applyFont="1" applyAlignment="1">
      <alignment horizontal="center"/>
    </xf>
    <xf numFmtId="171" fontId="35" fillId="0" borderId="0" xfId="0" applyNumberFormat="1" applyFont="1"/>
    <xf numFmtId="0" fontId="1" fillId="0" borderId="0" xfId="0" applyFont="1" applyAlignment="1">
      <alignment/>
    </xf>
    <xf numFmtId="0" fontId="0" fillId="0" borderId="0" xfId="0" applyFont="1"/>
    <xf numFmtId="0" fontId="0" fillId="0" borderId="0" xfId="0" applyFont="1" applyFill="1" applyBorder="1"/>
    <xf numFmtId="0" fontId="0" fillId="0" borderId="0" xfId="0" applyFont="1" quotePrefix="1"/>
    <xf numFmtId="16" fontId="0" fillId="0" borderId="0" xfId="0" applyNumberFormat="1" applyFont="1" quotePrefix="1"/>
    <xf numFmtId="3" fontId="0" fillId="0" borderId="1" xfId="0" applyNumberFormat="1" applyBorder="1" quotePrefix="1"/>
    <xf numFmtId="1" fontId="0" fillId="0" borderId="1" xfId="0" applyNumberFormat="1" applyBorder="1"/>
    <xf numFmtId="0" fontId="1" fillId="0" borderId="0" xfId="0" applyFont="1" applyAlignment="1">
      <alignment/>
    </xf>
    <xf numFmtId="0" fontId="5" fillId="0" borderId="0" xfId="0" applyFont="1" applyFill="1" applyBorder="1" applyAlignment="1">
      <alignment/>
    </xf>
    <xf numFmtId="0" fontId="0" fillId="0" borderId="0" xfId="0" applyAlignment="1">
      <alignment/>
    </xf>
    <xf numFmtId="0" fontId="0" fillId="0" borderId="0" xfId="0" applyFont="1" applyAlignment="1">
      <alignment horizontal="center"/>
    </xf>
    <xf numFmtId="168" fontId="0" fillId="0" borderId="0" xfId="18" applyNumberFormat="1"/>
    <xf numFmtId="168" fontId="23" fillId="0" borderId="22" xfId="18" applyNumberFormat="1" applyFont="1" applyBorder="1" applyAlignment="1">
      <alignment horizontal="center"/>
    </xf>
    <xf numFmtId="168" fontId="0" fillId="0" borderId="0" xfId="18" applyNumberFormat="1" applyFont="1"/>
    <xf numFmtId="10" fontId="0" fillId="0" borderId="1" xfId="0" applyNumberFormat="1" applyBorder="1"/>
    <xf numFmtId="3" fontId="1" fillId="0" borderId="1" xfId="0" applyNumberFormat="1" applyFont="1" applyBorder="1"/>
    <xf numFmtId="0" fontId="0" fillId="0" borderId="1" xfId="0" applyFont="1" applyBorder="1" applyAlignment="1">
      <alignment horizontal="center"/>
    </xf>
    <xf numFmtId="0" fontId="30" fillId="0" borderId="0" xfId="20" applyFont="1">
      <alignment/>
      <protection/>
    </xf>
    <xf numFmtId="44" fontId="33" fillId="0" borderId="0" xfId="21" applyFont="1"/>
    <xf numFmtId="165" fontId="0" fillId="0" borderId="1" xfId="0" applyNumberFormat="1" applyFont="1" applyBorder="1" applyAlignment="1">
      <alignment wrapText="1"/>
    </xf>
    <xf numFmtId="0" fontId="23" fillId="0" borderId="0" xfId="0" applyFont="1" applyBorder="1" applyAlignment="1">
      <alignment horizontal="center"/>
    </xf>
    <xf numFmtId="0" fontId="2" fillId="0" borderId="0" xfId="0" applyFont="1" applyBorder="1" applyAlignment="1">
      <alignment wrapText="1"/>
    </xf>
    <xf numFmtId="165" fontId="0" fillId="0" borderId="0" xfId="0" applyNumberFormat="1" applyBorder="1"/>
    <xf numFmtId="3" fontId="0" fillId="0" borderId="0" xfId="0" applyNumberFormat="1" applyBorder="1"/>
    <xf numFmtId="165" fontId="0" fillId="0" borderId="0" xfId="0" applyNumberFormat="1" applyFont="1" applyBorder="1" applyAlignment="1">
      <alignment wrapText="1"/>
    </xf>
    <xf numFmtId="0" fontId="1" fillId="0" borderId="0" xfId="0" applyFont="1" applyFill="1" applyBorder="1" applyAlignment="1">
      <alignment/>
    </xf>
    <xf numFmtId="13" fontId="0" fillId="0" borderId="0" xfId="21" applyNumberFormat="1" applyFont="1"/>
    <xf numFmtId="168" fontId="0" fillId="0" borderId="0" xfId="18" applyNumberFormat="1" applyFont="1"/>
    <xf numFmtId="171" fontId="23" fillId="0" borderId="0" xfId="0" applyNumberFormat="1" applyFont="1"/>
    <xf numFmtId="0" fontId="0" fillId="0" borderId="1" xfId="0" applyFont="1" applyBorder="1" applyAlignment="1">
      <alignment vertical="top" wrapText="1"/>
    </xf>
    <xf numFmtId="0" fontId="5" fillId="0" borderId="0" xfId="0" applyFont="1" applyFill="1" applyBorder="1" applyAlignment="1">
      <alignment wrapText="1"/>
    </xf>
    <xf numFmtId="0" fontId="1" fillId="0" borderId="0" xfId="0" applyFont="1" applyAlignment="1">
      <alignment/>
    </xf>
    <xf numFmtId="0" fontId="5" fillId="0" borderId="0" xfId="0" applyFont="1" applyAlignment="1">
      <alignment wrapText="1"/>
    </xf>
    <xf numFmtId="0" fontId="1" fillId="0" borderId="0" xfId="0" applyFont="1" applyAlignment="1">
      <alignment wrapText="1"/>
    </xf>
    <xf numFmtId="0" fontId="4" fillId="0" borderId="0" xfId="0" applyFont="1" applyAlignment="1">
      <alignment horizontal="center" vertical="center" wrapText="1"/>
    </xf>
    <xf numFmtId="0" fontId="0" fillId="0" borderId="0" xfId="0" applyAlignment="1">
      <alignment wrapText="1"/>
    </xf>
    <xf numFmtId="14" fontId="8" fillId="0" borderId="7" xfId="0" applyNumberFormat="1" applyFont="1" applyBorder="1" applyAlignment="1">
      <alignment horizontal="right" wrapText="1"/>
    </xf>
    <xf numFmtId="0" fontId="8" fillId="0" borderId="7" xfId="0" applyFont="1" applyBorder="1" applyAlignment="1">
      <alignment horizontal="right" wrapText="1"/>
    </xf>
    <xf numFmtId="0" fontId="3" fillId="0" borderId="7" xfId="0" applyFont="1" applyBorder="1" applyAlignment="1">
      <alignment horizontal="right" wrapText="1"/>
    </xf>
    <xf numFmtId="0" fontId="4" fillId="0" borderId="0" xfId="0" applyFont="1" applyAlignment="1">
      <alignment horizontal="center"/>
    </xf>
    <xf numFmtId="0" fontId="0" fillId="0" borderId="0" xfId="0" applyAlignment="1">
      <alignment horizontal="center"/>
    </xf>
    <xf numFmtId="0" fontId="1" fillId="0" borderId="7" xfId="0" applyFont="1" applyBorder="1" applyAlignment="1">
      <alignment horizontal="center"/>
    </xf>
    <xf numFmtId="0" fontId="0" fillId="0" borderId="7" xfId="0" applyBorder="1" applyAlignment="1">
      <alignment horizontal="center"/>
    </xf>
    <xf numFmtId="0" fontId="5" fillId="0" borderId="23" xfId="0" applyFont="1" applyBorder="1" applyAlignment="1">
      <alignment wrapText="1"/>
    </xf>
    <xf numFmtId="0" fontId="8" fillId="0" borderId="7" xfId="0" applyFont="1" applyBorder="1" applyAlignment="1">
      <alignment horizontal="center" wrapText="1"/>
    </xf>
    <xf numFmtId="0" fontId="3" fillId="0" borderId="7" xfId="0" applyFont="1" applyBorder="1" applyAlignment="1">
      <alignment horizontal="center" wrapText="1"/>
    </xf>
    <xf numFmtId="0" fontId="5" fillId="0" borderId="0" xfId="0" applyFont="1" applyFill="1" applyBorder="1" applyAlignment="1">
      <alignment/>
    </xf>
    <xf numFmtId="0" fontId="0" fillId="0" borderId="0" xfId="0" applyAlignment="1">
      <alignment/>
    </xf>
    <xf numFmtId="0" fontId="0" fillId="0" borderId="7" xfId="0" applyBorder="1" applyAlignment="1">
      <alignment horizontal="right"/>
    </xf>
    <xf numFmtId="0" fontId="1" fillId="0" borderId="0" xfId="0" applyFont="1" applyBorder="1" applyAlignment="1">
      <alignment horizontal="center" wrapText="1"/>
    </xf>
    <xf numFmtId="0" fontId="0" fillId="0" borderId="0" xfId="0" applyBorder="1" applyAlignment="1">
      <alignment wrapText="1"/>
    </xf>
    <xf numFmtId="0" fontId="23" fillId="0" borderId="0" xfId="0" applyFont="1" applyBorder="1" applyAlignment="1">
      <alignment horizontal="center"/>
    </xf>
    <xf numFmtId="0" fontId="23" fillId="0" borderId="24" xfId="0" applyFont="1" applyFill="1" applyBorder="1" applyAlignment="1">
      <alignment wrapText="1"/>
    </xf>
    <xf numFmtId="0" fontId="23" fillId="0" borderId="25" xfId="0" applyFont="1" applyBorder="1" applyAlignment="1">
      <alignment wrapText="1"/>
    </xf>
    <xf numFmtId="0" fontId="23" fillId="0" borderId="0" xfId="0" applyFont="1" applyAlignment="1">
      <alignment wrapText="1"/>
    </xf>
    <xf numFmtId="0" fontId="22" fillId="0" borderId="26" xfId="0" applyFont="1" applyBorder="1" applyAlignment="1">
      <alignment horizontal="center"/>
    </xf>
    <xf numFmtId="0" fontId="0" fillId="0" borderId="26" xfId="0" applyBorder="1" applyAlignment="1">
      <alignment horizontal="center"/>
    </xf>
    <xf numFmtId="0" fontId="18" fillId="0" borderId="0" xfId="0" applyFont="1" applyAlignment="1">
      <alignment wrapText="1"/>
    </xf>
    <xf numFmtId="0" fontId="12" fillId="0" borderId="4" xfId="0" applyFont="1" applyBorder="1" applyAlignment="1">
      <alignment wrapText="1"/>
    </xf>
    <xf numFmtId="0" fontId="0" fillId="0" borderId="16" xfId="0" applyBorder="1" applyAlignment="1">
      <alignment wrapText="1"/>
    </xf>
    <xf numFmtId="0" fontId="0" fillId="0" borderId="27" xfId="0" applyBorder="1" applyAlignment="1">
      <alignment wrapText="1"/>
    </xf>
    <xf numFmtId="0" fontId="8" fillId="0" borderId="4" xfId="0" applyFont="1" applyBorder="1" applyAlignment="1">
      <alignment wrapText="1"/>
    </xf>
    <xf numFmtId="0" fontId="10" fillId="0" borderId="16" xfId="0" applyFont="1" applyBorder="1" applyAlignment="1">
      <alignment wrapText="1"/>
    </xf>
    <xf numFmtId="0" fontId="10" fillId="0" borderId="27" xfId="0" applyFont="1" applyBorder="1" applyAlignment="1">
      <alignment wrapText="1"/>
    </xf>
    <xf numFmtId="0" fontId="0" fillId="0" borderId="4" xfId="0" applyBorder="1" applyAlignment="1">
      <alignment/>
    </xf>
    <xf numFmtId="0" fontId="0" fillId="0" borderId="16" xfId="0" applyBorder="1" applyAlignment="1">
      <alignment/>
    </xf>
    <xf numFmtId="0" fontId="0" fillId="0" borderId="27" xfId="0" applyBorder="1" applyAlignment="1">
      <alignment/>
    </xf>
    <xf numFmtId="0" fontId="4" fillId="0" borderId="4" xfId="0" applyFont="1" applyBorder="1" applyAlignment="1">
      <alignment/>
    </xf>
    <xf numFmtId="16" fontId="1" fillId="0" borderId="0" xfId="0" applyNumberFormat="1" applyFont="1" applyAlignment="1" quotePrefix="1">
      <alignment horizontal="center" wrapText="1"/>
    </xf>
    <xf numFmtId="0" fontId="0" fillId="0" borderId="16" xfId="0" applyBorder="1"/>
    <xf numFmtId="0" fontId="0" fillId="0" borderId="27" xfId="0" applyBorder="1"/>
    <xf numFmtId="0" fontId="0" fillId="0" borderId="16" xfId="0" applyFont="1" applyBorder="1" applyAlignment="1">
      <alignment wrapText="1"/>
    </xf>
    <xf numFmtId="0" fontId="0" fillId="0" borderId="27" xfId="0" applyFont="1" applyBorder="1" applyAlignment="1">
      <alignment wrapText="1"/>
    </xf>
    <xf numFmtId="0" fontId="18" fillId="0" borderId="0" xfId="0" applyFont="1" applyBorder="1" applyAlignment="1">
      <alignment/>
    </xf>
    <xf numFmtId="0" fontId="0" fillId="0" borderId="0" xfId="0" applyBorder="1" applyAlignment="1">
      <alignment/>
    </xf>
    <xf numFmtId="0" fontId="0" fillId="0" borderId="28" xfId="0" applyBorder="1" applyAlignment="1">
      <alignment/>
    </xf>
    <xf numFmtId="0" fontId="0" fillId="0" borderId="23" xfId="0" applyBorder="1" applyAlignment="1">
      <alignment/>
    </xf>
    <xf numFmtId="0" fontId="0" fillId="0" borderId="5" xfId="0" applyBorder="1" applyAlignment="1">
      <alignment/>
    </xf>
    <xf numFmtId="0" fontId="0" fillId="0" borderId="29" xfId="0" applyBorder="1" applyAlignment="1">
      <alignment/>
    </xf>
    <xf numFmtId="0" fontId="0" fillId="0" borderId="7" xfId="0" applyBorder="1" applyAlignment="1">
      <alignment/>
    </xf>
    <xf numFmtId="0" fontId="0" fillId="0" borderId="8" xfId="0" applyBorder="1" applyAlignment="1">
      <alignment/>
    </xf>
    <xf numFmtId="0" fontId="10" fillId="0" borderId="16" xfId="0" applyFont="1" applyBorder="1" applyAlignment="1">
      <alignment/>
    </xf>
    <xf numFmtId="0" fontId="10" fillId="0" borderId="27" xfId="0" applyFont="1" applyBorder="1" applyAlignment="1">
      <alignment/>
    </xf>
    <xf numFmtId="49" fontId="8" fillId="0" borderId="4" xfId="0" applyNumberFormat="1" applyFont="1" applyBorder="1" applyAlignment="1">
      <alignment wrapText="1"/>
    </xf>
    <xf numFmtId="49" fontId="10" fillId="0" borderId="16" xfId="0" applyNumberFormat="1" applyFont="1" applyBorder="1" applyAlignment="1">
      <alignment wrapText="1"/>
    </xf>
    <xf numFmtId="49" fontId="10" fillId="0" borderId="27" xfId="0" applyNumberFormat="1" applyFont="1" applyBorder="1" applyAlignment="1">
      <alignment wrapText="1"/>
    </xf>
    <xf numFmtId="0" fontId="10" fillId="0" borderId="16" xfId="0" applyFont="1" applyBorder="1" applyAlignment="1">
      <alignment wrapText="1"/>
    </xf>
    <xf numFmtId="0" fontId="10" fillId="0" borderId="27" xfId="0" applyFont="1" applyBorder="1" applyAlignment="1">
      <alignment wrapText="1"/>
    </xf>
    <xf numFmtId="0" fontId="10" fillId="0" borderId="16" xfId="0" applyFont="1" applyBorder="1" applyAlignment="1">
      <alignment/>
    </xf>
    <xf numFmtId="0" fontId="10" fillId="0" borderId="27" xfId="0" applyFont="1" applyBorder="1" applyAlignment="1">
      <alignment/>
    </xf>
    <xf numFmtId="0" fontId="8" fillId="0" borderId="7" xfId="0" applyFont="1" applyBorder="1" applyAlignment="1">
      <alignment horizontal="right"/>
    </xf>
  </cellXfs>
  <cellStyles count="8">
    <cellStyle name="Normal" xfId="0"/>
    <cellStyle name="Percent" xfId="15"/>
    <cellStyle name="Currency" xfId="16"/>
    <cellStyle name="Currency [0]" xfId="17"/>
    <cellStyle name="Comma" xfId="18"/>
    <cellStyle name="Comma [0]" xfId="19"/>
    <cellStyle name="Normal 2" xfId="20"/>
    <cellStyle name="Currency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topLeftCell="A1">
      <selection activeCell="A1" sqref="A1:O1"/>
    </sheetView>
  </sheetViews>
  <sheetFormatPr defaultColWidth="9.140625" defaultRowHeight="12.75"/>
  <cols>
    <col min="1" max="1" width="18.00390625" style="0" customWidth="1"/>
    <col min="2" max="3" width="8.00390625" style="0" customWidth="1"/>
    <col min="4" max="4" width="8.57421875" style="0" customWidth="1"/>
    <col min="5" max="5" width="8.140625" style="0" customWidth="1"/>
    <col min="6" max="6" width="8.00390625" style="0" customWidth="1"/>
    <col min="7" max="7" width="7.8515625" style="0" customWidth="1"/>
    <col min="8" max="10" width="8.00390625" style="0" customWidth="1"/>
    <col min="11" max="11" width="8.140625" style="0" customWidth="1"/>
    <col min="12" max="14" width="8.00390625" style="0" customWidth="1"/>
    <col min="15" max="15" width="33.140625" style="0" customWidth="1"/>
    <col min="16" max="16" width="1.7109375" style="0" customWidth="1"/>
  </cols>
  <sheetData>
    <row r="1" spans="1:15" ht="12.75">
      <c r="A1" s="195" t="s">
        <v>219</v>
      </c>
      <c r="B1" s="195"/>
      <c r="C1" s="195"/>
      <c r="D1" s="195"/>
      <c r="E1" s="195"/>
      <c r="F1" s="195"/>
      <c r="G1" s="195"/>
      <c r="H1" s="195"/>
      <c r="I1" s="195"/>
      <c r="J1" s="196"/>
      <c r="K1" s="196"/>
      <c r="L1" s="196"/>
      <c r="M1" s="196"/>
      <c r="N1" s="196"/>
      <c r="O1" s="196"/>
    </row>
    <row r="2" spans="1:15" ht="12.75">
      <c r="A2" s="200" t="s">
        <v>211</v>
      </c>
      <c r="B2" s="201"/>
      <c r="C2" s="201"/>
      <c r="D2" s="201"/>
      <c r="E2" s="201"/>
      <c r="F2" s="201"/>
      <c r="G2" s="201"/>
      <c r="H2" s="201"/>
      <c r="I2" s="201"/>
      <c r="J2" s="201"/>
      <c r="K2" s="201"/>
      <c r="L2" s="201"/>
      <c r="M2" s="201"/>
      <c r="N2" s="201"/>
      <c r="O2" s="201"/>
    </row>
    <row r="3" spans="1:15" ht="18" customHeight="1">
      <c r="A3" s="202" t="s">
        <v>103</v>
      </c>
      <c r="B3" s="202"/>
      <c r="C3" s="202"/>
      <c r="D3" s="202"/>
      <c r="E3" s="202"/>
      <c r="F3" s="202"/>
      <c r="G3" s="202"/>
      <c r="H3" s="202"/>
      <c r="I3" s="202"/>
      <c r="J3" s="203"/>
      <c r="K3" s="203"/>
      <c r="L3" s="197" t="s">
        <v>244</v>
      </c>
      <c r="M3" s="198"/>
      <c r="N3" s="198"/>
      <c r="O3" s="199"/>
    </row>
    <row r="4" spans="1:15" ht="12.75">
      <c r="A4" s="1" t="s">
        <v>10</v>
      </c>
      <c r="B4" s="2" t="s">
        <v>9</v>
      </c>
      <c r="C4" s="97" t="s">
        <v>8</v>
      </c>
      <c r="D4" s="97" t="s">
        <v>7</v>
      </c>
      <c r="E4" s="97" t="s">
        <v>6</v>
      </c>
      <c r="F4" s="97" t="s">
        <v>5</v>
      </c>
      <c r="G4" s="97" t="s">
        <v>4</v>
      </c>
      <c r="H4" s="97" t="s">
        <v>3</v>
      </c>
      <c r="I4" s="97" t="s">
        <v>2</v>
      </c>
      <c r="J4" s="97" t="s">
        <v>1</v>
      </c>
      <c r="K4" s="97" t="s">
        <v>28</v>
      </c>
      <c r="L4" s="98" t="s">
        <v>32</v>
      </c>
      <c r="M4" s="3" t="s">
        <v>192</v>
      </c>
      <c r="N4" s="3" t="s">
        <v>212</v>
      </c>
      <c r="O4" s="146" t="s">
        <v>217</v>
      </c>
    </row>
    <row r="5" spans="1:17" ht="30" customHeight="1">
      <c r="A5" s="25" t="s">
        <v>193</v>
      </c>
      <c r="B5" s="4">
        <v>222</v>
      </c>
      <c r="C5" s="4">
        <v>132735</v>
      </c>
      <c r="D5" s="4">
        <v>135059</v>
      </c>
      <c r="E5" s="4">
        <v>137422</v>
      </c>
      <c r="F5" s="4">
        <v>139828</v>
      </c>
      <c r="G5" s="4">
        <v>142274</v>
      </c>
      <c r="H5" s="4">
        <v>144764</v>
      </c>
      <c r="I5" s="4">
        <v>147297</v>
      </c>
      <c r="J5" s="4">
        <v>149875</v>
      </c>
      <c r="K5" s="4">
        <f>+J5</f>
        <v>149875</v>
      </c>
      <c r="L5" s="4">
        <f>+K5</f>
        <v>149875</v>
      </c>
      <c r="M5" s="4">
        <f>+L5</f>
        <v>149875</v>
      </c>
      <c r="N5" s="4">
        <f>+M5</f>
        <v>149875</v>
      </c>
      <c r="O5" s="5" t="s">
        <v>242</v>
      </c>
      <c r="P5" s="162"/>
      <c r="Q5" s="162"/>
    </row>
    <row r="6" spans="1:17" ht="30" customHeight="1">
      <c r="A6" s="125" t="s">
        <v>214</v>
      </c>
      <c r="B6" s="24">
        <v>220</v>
      </c>
      <c r="C6" s="24">
        <v>104609</v>
      </c>
      <c r="D6" s="24">
        <v>109547</v>
      </c>
      <c r="E6" s="24">
        <v>114732</v>
      </c>
      <c r="F6" s="24">
        <v>120177</v>
      </c>
      <c r="G6" s="24">
        <v>125894</v>
      </c>
      <c r="H6" s="24">
        <v>131897</v>
      </c>
      <c r="I6" s="115">
        <f>+H6</f>
        <v>131897</v>
      </c>
      <c r="J6" s="24">
        <f>+I6</f>
        <v>131897</v>
      </c>
      <c r="K6" s="140">
        <v>133256</v>
      </c>
      <c r="L6" s="24">
        <f>+K6</f>
        <v>133256</v>
      </c>
      <c r="M6" s="140">
        <v>134615</v>
      </c>
      <c r="N6" s="143">
        <v>135975</v>
      </c>
      <c r="O6" s="114" t="s">
        <v>213</v>
      </c>
      <c r="P6" s="162"/>
      <c r="Q6" s="17"/>
    </row>
    <row r="7" spans="1:17" s="16" customFormat="1" ht="30" customHeight="1">
      <c r="A7" s="25" t="s">
        <v>195</v>
      </c>
      <c r="B7" s="126">
        <v>220</v>
      </c>
      <c r="C7" s="126">
        <v>110433</v>
      </c>
      <c r="D7" s="126">
        <v>116023</v>
      </c>
      <c r="E7" s="126">
        <v>121897</v>
      </c>
      <c r="F7" s="126">
        <v>128068</v>
      </c>
      <c r="G7" s="126">
        <v>134550</v>
      </c>
      <c r="H7" s="126">
        <v>141362</v>
      </c>
      <c r="I7" s="126">
        <f>+H7</f>
        <v>141362</v>
      </c>
      <c r="J7" s="126">
        <f>+H7</f>
        <v>141362</v>
      </c>
      <c r="K7" s="127">
        <f>+J7*1.01</f>
        <v>142775.62</v>
      </c>
      <c r="L7" s="126">
        <f>+K7</f>
        <v>142775.62</v>
      </c>
      <c r="M7" s="126">
        <f>+K7</f>
        <v>142775.62</v>
      </c>
      <c r="N7" s="126">
        <f>+M7</f>
        <v>142775.62</v>
      </c>
      <c r="O7" s="5" t="s">
        <v>218</v>
      </c>
      <c r="P7" s="162"/>
      <c r="Q7" s="120"/>
    </row>
    <row r="8" spans="1:17" s="17" customFormat="1" ht="35.1" customHeight="1">
      <c r="A8" s="125" t="s">
        <v>224</v>
      </c>
      <c r="B8" s="115">
        <v>220</v>
      </c>
      <c r="C8" s="116">
        <f>D8/(E8/D8)</f>
        <v>128633.36041472881</v>
      </c>
      <c r="D8" s="116">
        <f>E8/(F8/E8)</f>
        <v>134938.1689272005</v>
      </c>
      <c r="E8" s="115">
        <v>141552</v>
      </c>
      <c r="F8" s="115">
        <v>148490</v>
      </c>
      <c r="G8" s="115">
        <v>155801</v>
      </c>
      <c r="H8" s="115">
        <v>160397</v>
      </c>
      <c r="I8" s="115">
        <v>165129</v>
      </c>
      <c r="J8" s="115">
        <v>170001</v>
      </c>
      <c r="K8" s="115">
        <f>+J8</f>
        <v>170001</v>
      </c>
      <c r="L8" s="115">
        <v>174929</v>
      </c>
      <c r="M8" s="115">
        <v>190598</v>
      </c>
      <c r="N8" s="115">
        <v>190598</v>
      </c>
      <c r="O8" s="117" t="s">
        <v>225</v>
      </c>
      <c r="P8" s="163"/>
      <c r="Q8" s="113"/>
    </row>
    <row r="9" spans="1:17" ht="35.1" customHeight="1">
      <c r="A9" s="25" t="s">
        <v>227</v>
      </c>
      <c r="B9" s="4">
        <v>218</v>
      </c>
      <c r="C9" s="4">
        <v>117536</v>
      </c>
      <c r="D9" s="4">
        <v>120474</v>
      </c>
      <c r="E9" s="4">
        <v>123486</v>
      </c>
      <c r="F9" s="4">
        <v>126573</v>
      </c>
      <c r="G9" s="4">
        <v>129738</v>
      </c>
      <c r="H9" s="4">
        <v>132980</v>
      </c>
      <c r="I9" s="4">
        <v>136306</v>
      </c>
      <c r="J9" s="4">
        <v>139713</v>
      </c>
      <c r="K9" s="4">
        <f>+J9</f>
        <v>139713</v>
      </c>
      <c r="L9" s="19">
        <f>+K9</f>
        <v>139713</v>
      </c>
      <c r="M9" s="143">
        <f>+L9*1.1</f>
        <v>153684.30000000002</v>
      </c>
      <c r="N9" s="143">
        <f>+L9*1.12</f>
        <v>156478.56000000003</v>
      </c>
      <c r="O9" s="5" t="s">
        <v>197</v>
      </c>
      <c r="P9" s="163"/>
      <c r="Q9" s="165"/>
    </row>
    <row r="10" spans="1:17" s="16" customFormat="1" ht="35.1" customHeight="1">
      <c r="A10" s="25" t="s">
        <v>228</v>
      </c>
      <c r="B10" s="126">
        <v>222</v>
      </c>
      <c r="C10" s="126">
        <v>100062</v>
      </c>
      <c r="D10" s="126">
        <v>105268</v>
      </c>
      <c r="E10" s="126">
        <v>110742</v>
      </c>
      <c r="F10" s="126">
        <v>116503</v>
      </c>
      <c r="G10" s="126">
        <v>122561</v>
      </c>
      <c r="H10" s="19">
        <v>128942</v>
      </c>
      <c r="I10" s="126">
        <v>135949</v>
      </c>
      <c r="J10" s="126">
        <f>+I10</f>
        <v>135949</v>
      </c>
      <c r="K10" s="126">
        <f>+J10</f>
        <v>135949</v>
      </c>
      <c r="L10" s="126">
        <f>+K10</f>
        <v>135949</v>
      </c>
      <c r="M10" s="126">
        <f>+L10</f>
        <v>135949</v>
      </c>
      <c r="N10" s="126">
        <f>+L10</f>
        <v>135949</v>
      </c>
      <c r="O10" s="5" t="s">
        <v>152</v>
      </c>
      <c r="P10" s="163"/>
      <c r="Q10" s="113"/>
    </row>
    <row r="11" spans="1:17" ht="35.1" customHeight="1">
      <c r="A11" s="25" t="s">
        <v>200</v>
      </c>
      <c r="B11" s="4">
        <v>220</v>
      </c>
      <c r="C11" s="19">
        <v>138896</v>
      </c>
      <c r="D11" s="19">
        <v>141675</v>
      </c>
      <c r="E11" s="19">
        <v>144508</v>
      </c>
      <c r="F11" s="19">
        <v>147398</v>
      </c>
      <c r="G11" s="19">
        <v>150346</v>
      </c>
      <c r="H11" s="19">
        <v>153355</v>
      </c>
      <c r="I11" s="19">
        <f aca="true" t="shared" si="0" ref="I11:L13">+H11</f>
        <v>153355</v>
      </c>
      <c r="J11" s="19">
        <f t="shared" si="0"/>
        <v>153355</v>
      </c>
      <c r="K11" s="19">
        <f t="shared" si="0"/>
        <v>153355</v>
      </c>
      <c r="L11" s="19">
        <f t="shared" si="0"/>
        <v>153355</v>
      </c>
      <c r="M11" s="18">
        <f>+L11*1.05</f>
        <v>161022.75</v>
      </c>
      <c r="N11" s="126">
        <f>+M11</f>
        <v>161022.75</v>
      </c>
      <c r="O11" s="5" t="s">
        <v>12</v>
      </c>
      <c r="P11" s="163"/>
      <c r="Q11" s="162" t="s">
        <v>243</v>
      </c>
    </row>
    <row r="12" spans="1:16" ht="35.1" customHeight="1">
      <c r="A12" s="25" t="s">
        <v>202</v>
      </c>
      <c r="B12" s="4">
        <v>220</v>
      </c>
      <c r="C12" s="4">
        <v>107523</v>
      </c>
      <c r="D12" s="4">
        <v>113848</v>
      </c>
      <c r="E12" s="4">
        <v>120173</v>
      </c>
      <c r="F12" s="4">
        <v>126498</v>
      </c>
      <c r="G12" s="4">
        <f>+F12</f>
        <v>126498</v>
      </c>
      <c r="H12" s="4">
        <f>+G12</f>
        <v>126498</v>
      </c>
      <c r="I12" s="4">
        <f t="shared" si="0"/>
        <v>126498</v>
      </c>
      <c r="J12" s="4">
        <f t="shared" si="0"/>
        <v>126498</v>
      </c>
      <c r="K12" s="4">
        <f t="shared" si="0"/>
        <v>126498</v>
      </c>
      <c r="L12" s="4">
        <f>+K12</f>
        <v>126498</v>
      </c>
      <c r="M12" s="4">
        <f>+L12+1000</f>
        <v>127498</v>
      </c>
      <c r="N12" s="4">
        <f>+L12+1000</f>
        <v>127498</v>
      </c>
      <c r="O12" s="5" t="s">
        <v>201</v>
      </c>
      <c r="P12" s="163"/>
    </row>
    <row r="13" spans="1:17" ht="35.1" customHeight="1">
      <c r="A13" s="25" t="s">
        <v>230</v>
      </c>
      <c r="B13" s="4">
        <v>220</v>
      </c>
      <c r="C13" s="4">
        <v>133376</v>
      </c>
      <c r="D13" s="4">
        <v>139582</v>
      </c>
      <c r="E13" s="4">
        <v>146080</v>
      </c>
      <c r="F13" s="4">
        <v>152883</v>
      </c>
      <c r="G13" s="4">
        <v>160007</v>
      </c>
      <c r="H13" s="19">
        <f>+G13</f>
        <v>160007</v>
      </c>
      <c r="I13" s="4">
        <f t="shared" si="0"/>
        <v>160007</v>
      </c>
      <c r="J13" s="4">
        <f t="shared" si="0"/>
        <v>160007</v>
      </c>
      <c r="K13" s="4">
        <f t="shared" si="0"/>
        <v>160007</v>
      </c>
      <c r="L13" s="18">
        <f>+K13*1.02</f>
        <v>163207.14</v>
      </c>
      <c r="M13" s="126">
        <f>+L13</f>
        <v>163207.14</v>
      </c>
      <c r="N13" s="126">
        <f>+M13</f>
        <v>163207.14</v>
      </c>
      <c r="O13" s="5" t="s">
        <v>231</v>
      </c>
      <c r="P13" s="163"/>
      <c r="Q13" s="17"/>
    </row>
    <row r="14" spans="1:17" ht="35.1" customHeight="1">
      <c r="A14" s="25" t="s">
        <v>203</v>
      </c>
      <c r="B14" s="4">
        <v>218</v>
      </c>
      <c r="C14" s="19">
        <v>130287</v>
      </c>
      <c r="D14" s="19">
        <v>132893</v>
      </c>
      <c r="E14" s="19">
        <v>135551</v>
      </c>
      <c r="F14" s="19">
        <v>138262</v>
      </c>
      <c r="G14" s="19">
        <v>141027</v>
      </c>
      <c r="H14" s="19">
        <v>143487</v>
      </c>
      <c r="I14" s="19">
        <f>+H14</f>
        <v>143487</v>
      </c>
      <c r="J14" s="19">
        <f>+I14</f>
        <v>143487</v>
      </c>
      <c r="K14" s="19">
        <v>146724</v>
      </c>
      <c r="L14" s="19">
        <f>+K14</f>
        <v>146724</v>
      </c>
      <c r="M14" s="19">
        <v>149659</v>
      </c>
      <c r="N14" s="19">
        <f>+M14</f>
        <v>149659</v>
      </c>
      <c r="O14" s="5" t="s">
        <v>232</v>
      </c>
      <c r="P14" s="163"/>
      <c r="Q14" s="124"/>
    </row>
    <row r="15" spans="1:15" ht="12.75">
      <c r="A15" s="9" t="s">
        <v>0</v>
      </c>
      <c r="B15" s="10">
        <f>SUM(B13+B14+B12+B11+B10+B9+B8+B7+B6+B5)</f>
        <v>2200</v>
      </c>
      <c r="C15" s="10">
        <f>SUM(C5:C14)</f>
        <v>1204090.3604147288</v>
      </c>
      <c r="D15" s="10">
        <f aca="true" t="shared" si="1" ref="D15:L15">SUM(D5:D14)</f>
        <v>1249307.1689272006</v>
      </c>
      <c r="E15" s="10">
        <f t="shared" si="1"/>
        <v>1296143</v>
      </c>
      <c r="F15" s="10">
        <f t="shared" si="1"/>
        <v>1344680</v>
      </c>
      <c r="G15" s="10">
        <f t="shared" si="1"/>
        <v>1388696</v>
      </c>
      <c r="H15" s="10">
        <f t="shared" si="1"/>
        <v>1423689</v>
      </c>
      <c r="I15" s="10">
        <f t="shared" si="1"/>
        <v>1441287</v>
      </c>
      <c r="J15" s="10">
        <f t="shared" si="1"/>
        <v>1452144</v>
      </c>
      <c r="K15" s="10">
        <f t="shared" si="1"/>
        <v>1458153.62</v>
      </c>
      <c r="L15" s="10">
        <f t="shared" si="1"/>
        <v>1466281.7600000002</v>
      </c>
      <c r="M15" s="10">
        <f>SUM(M5:M14)</f>
        <v>1508883.81</v>
      </c>
      <c r="N15" s="10">
        <f>SUM(N5:N14)</f>
        <v>1513038.0700000003</v>
      </c>
      <c r="O15" s="6"/>
    </row>
    <row r="16" spans="1:15" ht="22.5">
      <c r="A16" s="5" t="s">
        <v>163</v>
      </c>
      <c r="B16" s="7">
        <f>B15/10</f>
        <v>220</v>
      </c>
      <c r="C16" s="4">
        <f>C15/10</f>
        <v>120409.03604147288</v>
      </c>
      <c r="D16" s="4">
        <f aca="true" t="shared" si="2" ref="D16:K16">D15/10</f>
        <v>124930.71689272005</v>
      </c>
      <c r="E16" s="4">
        <f t="shared" si="2"/>
        <v>129614.3</v>
      </c>
      <c r="F16" s="4">
        <f t="shared" si="2"/>
        <v>134468</v>
      </c>
      <c r="G16" s="4">
        <f t="shared" si="2"/>
        <v>138869.6</v>
      </c>
      <c r="H16" s="4">
        <f t="shared" si="2"/>
        <v>142368.9</v>
      </c>
      <c r="I16" s="4">
        <f t="shared" si="2"/>
        <v>144128.7</v>
      </c>
      <c r="J16" s="4">
        <f t="shared" si="2"/>
        <v>145214.4</v>
      </c>
      <c r="K16" s="4">
        <f t="shared" si="2"/>
        <v>145815.36200000002</v>
      </c>
      <c r="L16" s="4">
        <f>L15/10</f>
        <v>146628.17600000004</v>
      </c>
      <c r="M16" s="4">
        <f>M15/10</f>
        <v>150888.381</v>
      </c>
      <c r="N16" s="4">
        <f>N15/10</f>
        <v>151303.80700000003</v>
      </c>
      <c r="O16" s="6"/>
    </row>
    <row r="17" spans="1:15" ht="22.5">
      <c r="A17" s="5" t="s">
        <v>164</v>
      </c>
      <c r="B17" s="6"/>
      <c r="C17" s="8">
        <f>C16/$B16</f>
        <v>547.313800188513</v>
      </c>
      <c r="D17" s="8">
        <f aca="true" t="shared" si="3" ref="D17:N17">D16/$B16</f>
        <v>567.8668949669093</v>
      </c>
      <c r="E17" s="8">
        <f t="shared" si="3"/>
        <v>589.1559090909091</v>
      </c>
      <c r="F17" s="8">
        <f t="shared" si="3"/>
        <v>611.2181818181818</v>
      </c>
      <c r="G17" s="8">
        <f t="shared" si="3"/>
        <v>631.2254545454546</v>
      </c>
      <c r="H17" s="8">
        <f t="shared" si="3"/>
        <v>647.1313636363636</v>
      </c>
      <c r="I17" s="8">
        <f t="shared" si="3"/>
        <v>655.1304545454547</v>
      </c>
      <c r="J17" s="8">
        <f t="shared" si="3"/>
        <v>660.0654545454545</v>
      </c>
      <c r="K17" s="8">
        <f t="shared" si="3"/>
        <v>662.7971000000001</v>
      </c>
      <c r="L17" s="8">
        <f t="shared" si="3"/>
        <v>666.4917090909092</v>
      </c>
      <c r="M17" s="8">
        <f t="shared" si="3"/>
        <v>685.8562772727272</v>
      </c>
      <c r="N17" s="8">
        <f t="shared" si="3"/>
        <v>687.7445772727274</v>
      </c>
      <c r="O17" s="6"/>
    </row>
    <row r="18" spans="1:15" ht="33.75">
      <c r="A18" s="14" t="s">
        <v>27</v>
      </c>
      <c r="B18" s="6">
        <v>240</v>
      </c>
      <c r="C18" s="4">
        <f aca="true" t="shared" si="4" ref="C18:N18">C$17*$B18*1.05</f>
        <v>137923.0776475053</v>
      </c>
      <c r="D18" s="4">
        <f t="shared" si="4"/>
        <v>143102.45753166114</v>
      </c>
      <c r="E18" s="4">
        <f t="shared" si="4"/>
        <v>148467.2890909091</v>
      </c>
      <c r="F18" s="4">
        <f t="shared" si="4"/>
        <v>154026.98181818184</v>
      </c>
      <c r="G18" s="4">
        <f t="shared" si="4"/>
        <v>159068.81454545457</v>
      </c>
      <c r="H18" s="4">
        <f t="shared" si="4"/>
        <v>163077.10363636367</v>
      </c>
      <c r="I18" s="4">
        <f t="shared" si="4"/>
        <v>165092.87454545457</v>
      </c>
      <c r="J18" s="4">
        <f t="shared" si="4"/>
        <v>166336.49454545454</v>
      </c>
      <c r="K18" s="4">
        <f t="shared" si="4"/>
        <v>167024.86920000004</v>
      </c>
      <c r="L18" s="4">
        <f t="shared" si="4"/>
        <v>167955.91069090914</v>
      </c>
      <c r="M18" s="4">
        <f t="shared" si="4"/>
        <v>172835.78187272727</v>
      </c>
      <c r="N18" s="4">
        <f t="shared" si="4"/>
        <v>173311.6334727273</v>
      </c>
      <c r="O18" s="180" t="s">
        <v>209</v>
      </c>
    </row>
    <row r="19" spans="1:15" ht="12.75">
      <c r="A19" s="182"/>
      <c r="B19" s="183"/>
      <c r="C19" s="184"/>
      <c r="D19" s="184"/>
      <c r="E19" s="184"/>
      <c r="F19" s="184"/>
      <c r="G19" s="184"/>
      <c r="H19" s="184"/>
      <c r="I19" s="184"/>
      <c r="J19" s="184"/>
      <c r="K19" s="184"/>
      <c r="L19" s="184"/>
      <c r="M19" s="184"/>
      <c r="N19" s="184"/>
      <c r="O19" s="185"/>
    </row>
    <row r="20" spans="1:15" ht="24.75" customHeight="1">
      <c r="A20" s="193" t="s">
        <v>11</v>
      </c>
      <c r="B20" s="194"/>
      <c r="C20" s="194"/>
      <c r="D20" s="194"/>
      <c r="E20" s="194"/>
      <c r="F20" s="194"/>
      <c r="G20" s="194"/>
      <c r="H20" s="194"/>
      <c r="I20" s="194"/>
      <c r="J20" s="194"/>
      <c r="K20" s="194"/>
      <c r="L20" s="194"/>
      <c r="M20" s="194"/>
      <c r="N20" s="194"/>
      <c r="O20" s="194"/>
    </row>
    <row r="21" spans="1:18" ht="12.75">
      <c r="A21" s="186" t="s">
        <v>233</v>
      </c>
      <c r="B21" s="39"/>
      <c r="C21" s="39"/>
      <c r="D21" s="100"/>
      <c r="E21" s="39"/>
      <c r="F21" s="39"/>
      <c r="G21" s="39"/>
      <c r="H21" s="39"/>
      <c r="I21" s="20"/>
      <c r="J21" s="20"/>
      <c r="K21" s="20"/>
      <c r="L21" s="20"/>
      <c r="M21" s="20"/>
      <c r="N21" s="20"/>
      <c r="O21" s="20"/>
      <c r="P21" s="20"/>
      <c r="Q21" s="20"/>
      <c r="R21" s="20"/>
    </row>
    <row r="22" spans="1:15" ht="12.75">
      <c r="A22" s="191" t="s">
        <v>29</v>
      </c>
      <c r="B22" s="192"/>
      <c r="C22" s="192"/>
      <c r="D22" s="192"/>
      <c r="E22" s="192"/>
      <c r="F22" s="192"/>
      <c r="G22" s="192"/>
      <c r="H22" s="192"/>
      <c r="I22" s="192"/>
      <c r="J22" s="192"/>
      <c r="K22" s="192"/>
      <c r="L22" s="192"/>
      <c r="M22" s="192"/>
      <c r="N22" s="192"/>
      <c r="O22" s="192"/>
    </row>
    <row r="23" spans="1:18" ht="12.75">
      <c r="A23" s="169"/>
      <c r="B23" s="170"/>
      <c r="C23" s="170"/>
      <c r="D23" s="169"/>
      <c r="E23" s="170"/>
      <c r="F23" s="170"/>
      <c r="G23" s="170"/>
      <c r="H23" s="170"/>
      <c r="I23" s="168"/>
      <c r="J23" s="168"/>
      <c r="K23" s="168"/>
      <c r="L23" s="168"/>
      <c r="M23" s="168"/>
      <c r="N23" s="168"/>
      <c r="O23" s="168"/>
      <c r="P23" s="168"/>
      <c r="Q23" s="168"/>
      <c r="R23" s="168"/>
    </row>
    <row r="24" spans="1:2" ht="12.75">
      <c r="A24" s="11" t="s">
        <v>18</v>
      </c>
      <c r="B24" s="11" t="s">
        <v>13</v>
      </c>
    </row>
    <row r="25" spans="1:2" ht="12.75">
      <c r="A25" s="1" t="s">
        <v>14</v>
      </c>
      <c r="B25" s="13">
        <v>1207</v>
      </c>
    </row>
    <row r="26" spans="1:2" ht="12.75">
      <c r="A26" s="1" t="s">
        <v>15</v>
      </c>
      <c r="B26" s="13">
        <v>1611</v>
      </c>
    </row>
    <row r="27" spans="1:2" ht="12.75">
      <c r="A27" s="1" t="s">
        <v>16</v>
      </c>
      <c r="B27" s="13">
        <v>1450</v>
      </c>
    </row>
    <row r="28" spans="1:2" ht="12.75">
      <c r="A28" s="1" t="s">
        <v>17</v>
      </c>
      <c r="B28" s="13">
        <v>0</v>
      </c>
    </row>
    <row r="29" spans="1:2" ht="12.75">
      <c r="A29" s="1" t="s">
        <v>19</v>
      </c>
      <c r="B29" s="13">
        <v>1000</v>
      </c>
    </row>
    <row r="30" spans="1:2" ht="12.75">
      <c r="A30" s="1" t="s">
        <v>20</v>
      </c>
      <c r="B30" s="13">
        <v>1000</v>
      </c>
    </row>
    <row r="31" spans="1:2" ht="12.75">
      <c r="A31" s="1" t="s">
        <v>21</v>
      </c>
      <c r="B31" s="13">
        <v>1300</v>
      </c>
    </row>
    <row r="32" spans="1:2" ht="12.75">
      <c r="A32" s="1" t="s">
        <v>22</v>
      </c>
      <c r="B32" s="13">
        <v>0</v>
      </c>
    </row>
    <row r="33" spans="1:2" ht="12.75">
      <c r="A33" s="1" t="s">
        <v>23</v>
      </c>
      <c r="B33" s="13">
        <v>1951</v>
      </c>
    </row>
    <row r="34" spans="1:2" ht="12.75">
      <c r="A34" s="1" t="s">
        <v>24</v>
      </c>
      <c r="B34" s="13">
        <v>2604</v>
      </c>
    </row>
    <row r="35" spans="1:2" ht="12.75">
      <c r="A35" s="1" t="s">
        <v>25</v>
      </c>
      <c r="B35" s="13">
        <f>SUM(B25:B34)/10</f>
        <v>1212.3</v>
      </c>
    </row>
    <row r="36" spans="1:2" ht="25.5">
      <c r="A36" s="12" t="s">
        <v>26</v>
      </c>
      <c r="B36" s="13">
        <f>SUM(B35)/24</f>
        <v>50.512499999999996</v>
      </c>
    </row>
  </sheetData>
  <mergeCells count="6">
    <mergeCell ref="A22:O22"/>
    <mergeCell ref="A20:O20"/>
    <mergeCell ref="A1:O1"/>
    <mergeCell ref="L3:O3"/>
    <mergeCell ref="A2:O2"/>
    <mergeCell ref="A3:K3"/>
  </mergeCells>
  <printOptions/>
  <pageMargins left="0.25" right="0.25" top="1.08" bottom="0.78" header="0.5" footer="0.5"/>
  <pageSetup fitToHeight="2" fitToWidth="2" horizontalDpi="600" verticalDpi="600" orientation="landscape" scale="83" r:id="rId1"/>
  <headerFooter alignWithMargins="0">
    <oddFooter>&amp;L&amp;Z&amp;F</oddFooter>
  </headerFooter>
  <rowBreaks count="1" manualBreakCount="1">
    <brk id="2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workbookViewId="0" topLeftCell="A1">
      <selection activeCell="A1" sqref="A1:S1"/>
    </sheetView>
  </sheetViews>
  <sheetFormatPr defaultColWidth="9.140625" defaultRowHeight="12.75"/>
  <cols>
    <col min="1" max="1" width="18.00390625" style="0" customWidth="1"/>
    <col min="2" max="3" width="6.8515625" style="0" customWidth="1"/>
    <col min="4" max="10" width="6.57421875" style="0" customWidth="1"/>
    <col min="11" max="11" width="8.00390625" style="0" customWidth="1"/>
    <col min="12" max="14" width="6.57421875" style="0" customWidth="1"/>
    <col min="15" max="19" width="6.8515625" style="0" customWidth="1"/>
    <col min="20" max="20" width="6.57421875" style="0" customWidth="1"/>
    <col min="21" max="21" width="2.7109375" style="0" customWidth="1"/>
  </cols>
  <sheetData>
    <row r="1" spans="1:19" ht="14.25">
      <c r="A1" s="200" t="s">
        <v>125</v>
      </c>
      <c r="B1" s="201"/>
      <c r="C1" s="201"/>
      <c r="D1" s="201"/>
      <c r="E1" s="201"/>
      <c r="F1" s="201"/>
      <c r="G1" s="201"/>
      <c r="H1" s="201"/>
      <c r="I1" s="201"/>
      <c r="J1" s="201"/>
      <c r="K1" s="201"/>
      <c r="L1" s="201"/>
      <c r="M1" s="201"/>
      <c r="N1" s="201"/>
      <c r="O1" s="208"/>
      <c r="P1" s="208"/>
      <c r="Q1" s="208"/>
      <c r="R1" s="208"/>
      <c r="S1" s="208"/>
    </row>
    <row r="2" spans="1:19" ht="13.5">
      <c r="A2" s="200" t="s">
        <v>121</v>
      </c>
      <c r="B2" s="201"/>
      <c r="C2" s="201"/>
      <c r="D2" s="201"/>
      <c r="E2" s="201"/>
      <c r="F2" s="201"/>
      <c r="G2" s="201"/>
      <c r="H2" s="201"/>
      <c r="I2" s="201"/>
      <c r="J2" s="201"/>
      <c r="K2" s="201"/>
      <c r="L2" s="201"/>
      <c r="M2" s="201"/>
      <c r="N2" s="201"/>
      <c r="O2" s="208"/>
      <c r="P2" s="208"/>
      <c r="Q2" s="208"/>
      <c r="R2" s="208"/>
      <c r="S2" s="208"/>
    </row>
    <row r="3" spans="2:20" ht="18" customHeight="1">
      <c r="B3" s="103"/>
      <c r="C3" s="103"/>
      <c r="D3" s="103"/>
      <c r="E3" s="103"/>
      <c r="F3" s="103"/>
      <c r="G3" s="103"/>
      <c r="H3" s="103"/>
      <c r="I3" s="103"/>
      <c r="J3" s="103"/>
      <c r="K3" s="102"/>
      <c r="L3" s="102"/>
      <c r="M3" s="102"/>
      <c r="N3" s="102"/>
      <c r="O3" s="198"/>
      <c r="P3" s="209"/>
      <c r="Q3" s="209"/>
      <c r="R3" s="198" t="s">
        <v>128</v>
      </c>
      <c r="S3" s="209"/>
      <c r="T3" s="209"/>
    </row>
    <row r="4" spans="1:20" ht="41.25" customHeight="1">
      <c r="A4" s="11" t="s">
        <v>18</v>
      </c>
      <c r="B4" s="26" t="s">
        <v>8</v>
      </c>
      <c r="C4" s="26" t="s">
        <v>7</v>
      </c>
      <c r="D4" s="26" t="s">
        <v>6</v>
      </c>
      <c r="E4" s="26" t="s">
        <v>5</v>
      </c>
      <c r="F4" s="26" t="s">
        <v>4</v>
      </c>
      <c r="G4" s="142" t="s">
        <v>3</v>
      </c>
      <c r="H4" s="26" t="s">
        <v>2</v>
      </c>
      <c r="I4" s="26" t="s">
        <v>1</v>
      </c>
      <c r="J4" s="26" t="s">
        <v>28</v>
      </c>
      <c r="K4" s="26" t="s">
        <v>32</v>
      </c>
      <c r="L4" s="41"/>
      <c r="M4" s="41"/>
      <c r="N4" s="41"/>
      <c r="O4" s="228" t="s">
        <v>105</v>
      </c>
      <c r="P4" s="226"/>
      <c r="Q4" s="226"/>
      <c r="R4" s="226"/>
      <c r="S4" s="226"/>
      <c r="T4" s="227"/>
    </row>
    <row r="5" spans="1:22" ht="30" customHeight="1">
      <c r="A5" s="25" t="s">
        <v>99</v>
      </c>
      <c r="B5" s="38">
        <v>18.47</v>
      </c>
      <c r="C5" s="38">
        <v>19.4</v>
      </c>
      <c r="D5" s="38">
        <v>20.32</v>
      </c>
      <c r="E5" s="38">
        <v>21.24</v>
      </c>
      <c r="F5" s="38">
        <v>22.15</v>
      </c>
      <c r="G5" s="38">
        <v>23.26</v>
      </c>
      <c r="H5" s="38">
        <v>24.42</v>
      </c>
      <c r="I5" s="38">
        <f aca="true" t="shared" si="0" ref="I5:K6">+H5</f>
        <v>24.42</v>
      </c>
      <c r="J5" s="38">
        <f t="shared" si="0"/>
        <v>24.42</v>
      </c>
      <c r="K5" s="38">
        <f t="shared" si="0"/>
        <v>24.42</v>
      </c>
      <c r="L5" s="99"/>
      <c r="M5" s="110"/>
      <c r="N5" s="110"/>
      <c r="O5" s="222" t="s">
        <v>56</v>
      </c>
      <c r="P5" s="247"/>
      <c r="Q5" s="247"/>
      <c r="R5" s="247"/>
      <c r="S5" s="247"/>
      <c r="T5" s="221"/>
      <c r="U5" s="17"/>
      <c r="V5" s="17"/>
    </row>
    <row r="6" spans="1:22" ht="30" customHeight="1">
      <c r="A6" s="42" t="s">
        <v>106</v>
      </c>
      <c r="B6" s="38">
        <v>15.69</v>
      </c>
      <c r="C6" s="38">
        <v>16.5</v>
      </c>
      <c r="D6" s="38">
        <v>17.35</v>
      </c>
      <c r="E6" s="38">
        <v>18.21</v>
      </c>
      <c r="F6" s="38">
        <v>19.13</v>
      </c>
      <c r="G6" s="38">
        <f>+F6</f>
        <v>19.13</v>
      </c>
      <c r="H6" s="38">
        <f>+G6</f>
        <v>19.13</v>
      </c>
      <c r="I6" s="38">
        <f t="shared" si="0"/>
        <v>19.13</v>
      </c>
      <c r="J6" s="38">
        <f t="shared" si="0"/>
        <v>19.13</v>
      </c>
      <c r="K6" s="38">
        <f t="shared" si="0"/>
        <v>19.13</v>
      </c>
      <c r="L6" s="99"/>
      <c r="M6" s="110"/>
      <c r="N6" s="110"/>
      <c r="O6" s="222" t="s">
        <v>80</v>
      </c>
      <c r="P6" s="247"/>
      <c r="Q6" s="247"/>
      <c r="R6" s="247"/>
      <c r="S6" s="247"/>
      <c r="T6" s="221"/>
      <c r="U6" s="17"/>
      <c r="V6" s="17"/>
    </row>
    <row r="7" spans="1:22" s="43" customFormat="1" ht="25.5" customHeight="1">
      <c r="A7" s="25" t="s">
        <v>95</v>
      </c>
      <c r="B7" s="112">
        <v>15.99</v>
      </c>
      <c r="C7" s="112">
        <v>16.8</v>
      </c>
      <c r="D7" s="112">
        <v>17.65</v>
      </c>
      <c r="E7" s="112">
        <v>18.54</v>
      </c>
      <c r="F7" s="112">
        <v>19.48</v>
      </c>
      <c r="G7" s="112">
        <v>20.46</v>
      </c>
      <c r="H7" s="112">
        <f aca="true" t="shared" si="1" ref="H7:H14">+G7</f>
        <v>20.46</v>
      </c>
      <c r="I7" s="112">
        <f>+G7</f>
        <v>20.46</v>
      </c>
      <c r="J7" s="112">
        <f>+G7</f>
        <v>20.46</v>
      </c>
      <c r="K7" s="129">
        <f>+$J7*1.02</f>
        <v>20.869200000000003</v>
      </c>
      <c r="L7" s="129"/>
      <c r="M7" s="110"/>
      <c r="N7" s="110"/>
      <c r="O7" s="222" t="s">
        <v>90</v>
      </c>
      <c r="P7" s="223"/>
      <c r="Q7" s="223"/>
      <c r="R7" s="223"/>
      <c r="S7" s="223"/>
      <c r="T7" s="233"/>
      <c r="U7" s="17" t="s">
        <v>79</v>
      </c>
      <c r="V7" s="120" t="s">
        <v>92</v>
      </c>
    </row>
    <row r="8" spans="1:22" ht="30" customHeight="1">
      <c r="A8" s="125" t="s">
        <v>107</v>
      </c>
      <c r="B8" s="38">
        <v>17.81</v>
      </c>
      <c r="C8" s="38">
        <v>18.58</v>
      </c>
      <c r="D8" s="38">
        <v>19.38</v>
      </c>
      <c r="E8" s="38">
        <v>20.23</v>
      </c>
      <c r="F8" s="38">
        <v>21.12</v>
      </c>
      <c r="G8" s="38">
        <f>+F8</f>
        <v>21.12</v>
      </c>
      <c r="H8" s="38">
        <f t="shared" si="1"/>
        <v>21.12</v>
      </c>
      <c r="I8" s="38">
        <f>+H8</f>
        <v>21.12</v>
      </c>
      <c r="J8" s="38">
        <f>+I8</f>
        <v>21.12</v>
      </c>
      <c r="K8" s="112">
        <f>+J8</f>
        <v>21.12</v>
      </c>
      <c r="L8" s="99">
        <f>+K8*1.025</f>
        <v>21.648</v>
      </c>
      <c r="M8" s="38"/>
      <c r="N8" s="38"/>
      <c r="O8" s="222" t="s">
        <v>111</v>
      </c>
      <c r="P8" s="247"/>
      <c r="Q8" s="247"/>
      <c r="R8" s="247"/>
      <c r="S8" s="247"/>
      <c r="T8" s="221"/>
      <c r="U8" s="122"/>
      <c r="V8" s="17"/>
    </row>
    <row r="9" spans="1:22" ht="20.25" customHeight="1">
      <c r="A9" s="25" t="s">
        <v>112</v>
      </c>
      <c r="B9" s="38">
        <v>11.85</v>
      </c>
      <c r="C9" s="38">
        <v>12.44</v>
      </c>
      <c r="D9" s="38">
        <v>13.07</v>
      </c>
      <c r="E9" s="38">
        <v>13.73</v>
      </c>
      <c r="F9" s="38">
        <v>14.41</v>
      </c>
      <c r="G9" s="38">
        <v>15.15</v>
      </c>
      <c r="H9" s="38">
        <f t="shared" si="1"/>
        <v>15.15</v>
      </c>
      <c r="I9" s="38">
        <f>+G9</f>
        <v>15.15</v>
      </c>
      <c r="J9" s="38">
        <f>+G9</f>
        <v>15.15</v>
      </c>
      <c r="K9" s="38">
        <f>+G9</f>
        <v>15.15</v>
      </c>
      <c r="L9" s="99">
        <f>+K9*1.025</f>
        <v>15.528749999999999</v>
      </c>
      <c r="M9" s="38"/>
      <c r="N9" s="38"/>
      <c r="O9" s="222" t="s">
        <v>115</v>
      </c>
      <c r="P9" s="247"/>
      <c r="Q9" s="247"/>
      <c r="R9" s="247"/>
      <c r="S9" s="247"/>
      <c r="T9" s="221"/>
      <c r="U9" s="17"/>
      <c r="V9" s="123"/>
    </row>
    <row r="10" spans="1:23" s="43" customFormat="1" ht="30" customHeight="1">
      <c r="A10" s="25" t="s">
        <v>116</v>
      </c>
      <c r="B10" s="112">
        <v>13</v>
      </c>
      <c r="C10" s="112">
        <v>13.65</v>
      </c>
      <c r="D10" s="112">
        <v>14.34</v>
      </c>
      <c r="E10" s="112">
        <v>15.05</v>
      </c>
      <c r="F10" s="112">
        <v>15.8</v>
      </c>
      <c r="G10" s="112">
        <v>16.59</v>
      </c>
      <c r="H10" s="112">
        <f t="shared" si="1"/>
        <v>16.59</v>
      </c>
      <c r="I10" s="112">
        <f>+H10</f>
        <v>16.59</v>
      </c>
      <c r="J10" s="112">
        <f>+I10</f>
        <v>16.59</v>
      </c>
      <c r="K10" s="112">
        <f>+J10</f>
        <v>16.59</v>
      </c>
      <c r="L10" s="129"/>
      <c r="M10" s="38"/>
      <c r="N10" s="38"/>
      <c r="O10" s="222" t="s">
        <v>57</v>
      </c>
      <c r="P10" s="223"/>
      <c r="Q10" s="223"/>
      <c r="R10" s="223"/>
      <c r="S10" s="223"/>
      <c r="T10" s="233"/>
      <c r="U10" s="17"/>
      <c r="V10" s="229"/>
      <c r="W10" s="229"/>
    </row>
    <row r="11" spans="1:23" ht="30" customHeight="1">
      <c r="A11" s="25" t="s">
        <v>118</v>
      </c>
      <c r="B11" s="38">
        <v>16.33</v>
      </c>
      <c r="C11" s="38">
        <v>17.16</v>
      </c>
      <c r="D11" s="38">
        <v>18.02</v>
      </c>
      <c r="E11" s="38">
        <v>18.94</v>
      </c>
      <c r="F11" s="38">
        <v>19.9</v>
      </c>
      <c r="G11" s="38">
        <v>19.9</v>
      </c>
      <c r="H11" s="38">
        <f t="shared" si="1"/>
        <v>19.9</v>
      </c>
      <c r="I11" s="38">
        <f>+H11</f>
        <v>19.9</v>
      </c>
      <c r="J11" s="38">
        <f>+I11</f>
        <v>19.9</v>
      </c>
      <c r="K11" s="144">
        <f>+G11*1.03</f>
        <v>20.497</v>
      </c>
      <c r="L11" s="99"/>
      <c r="M11" s="38"/>
      <c r="N11" s="38"/>
      <c r="O11" s="222" t="s">
        <v>58</v>
      </c>
      <c r="P11" s="247"/>
      <c r="Q11" s="247"/>
      <c r="R11" s="247"/>
      <c r="S11" s="247"/>
      <c r="T11" s="221"/>
      <c r="U11" s="17"/>
      <c r="V11" s="229"/>
      <c r="W11" s="229"/>
    </row>
    <row r="12" spans="1:22" ht="30" customHeight="1">
      <c r="A12" s="25" t="s">
        <v>122</v>
      </c>
      <c r="B12" s="38">
        <f>27318/1950</f>
        <v>14.009230769230768</v>
      </c>
      <c r="C12" s="38">
        <f>28425/1950</f>
        <v>14.576923076923077</v>
      </c>
      <c r="D12" s="38">
        <f>29622/1950</f>
        <v>15.19076923076923</v>
      </c>
      <c r="E12" s="38">
        <f>30963/1950</f>
        <v>15.878461538461538</v>
      </c>
      <c r="F12" s="38">
        <f>32353/1950</f>
        <v>16.59128205128205</v>
      </c>
      <c r="G12" s="38">
        <f>32353/1950</f>
        <v>16.59128205128205</v>
      </c>
      <c r="H12" s="38">
        <f t="shared" si="1"/>
        <v>16.59128205128205</v>
      </c>
      <c r="I12" s="38">
        <f>+G12</f>
        <v>16.59128205128205</v>
      </c>
      <c r="J12" s="38">
        <f>+G12</f>
        <v>16.59128205128205</v>
      </c>
      <c r="K12" s="99">
        <f>$F12+(533/1950)</f>
        <v>16.864615384615384</v>
      </c>
      <c r="L12" s="99"/>
      <c r="M12" s="38"/>
      <c r="N12" s="38"/>
      <c r="O12" s="222" t="s">
        <v>98</v>
      </c>
      <c r="P12" s="247"/>
      <c r="Q12" s="247"/>
      <c r="R12" s="247"/>
      <c r="S12" s="247"/>
      <c r="T12" s="221"/>
      <c r="V12" s="17"/>
    </row>
    <row r="13" spans="1:23" ht="39.95" customHeight="1">
      <c r="A13" s="42" t="s">
        <v>130</v>
      </c>
      <c r="B13" s="38">
        <v>14.97</v>
      </c>
      <c r="C13" s="38">
        <v>15.72</v>
      </c>
      <c r="D13" s="38">
        <v>16.5</v>
      </c>
      <c r="E13" s="38">
        <v>17.34</v>
      </c>
      <c r="F13" s="38">
        <v>18.2</v>
      </c>
      <c r="G13" s="38">
        <f>+F13</f>
        <v>18.2</v>
      </c>
      <c r="H13" s="38">
        <f t="shared" si="1"/>
        <v>18.2</v>
      </c>
      <c r="I13" s="99">
        <f>+H13*1.025-0.01</f>
        <v>18.644999999999996</v>
      </c>
      <c r="J13" s="38">
        <f>+I13</f>
        <v>18.644999999999996</v>
      </c>
      <c r="K13" s="38">
        <f>+J13</f>
        <v>18.644999999999996</v>
      </c>
      <c r="L13" s="99"/>
      <c r="M13" s="38"/>
      <c r="N13" s="99"/>
      <c r="O13" s="222" t="s">
        <v>59</v>
      </c>
      <c r="P13" s="247"/>
      <c r="Q13" s="247"/>
      <c r="R13" s="247"/>
      <c r="S13" s="247"/>
      <c r="T13" s="221"/>
      <c r="U13" s="17"/>
      <c r="V13" s="229"/>
      <c r="W13" s="229"/>
    </row>
    <row r="14" spans="1:20" ht="27.75" customHeight="1">
      <c r="A14" s="42" t="s">
        <v>119</v>
      </c>
      <c r="B14" s="38">
        <v>15.17</v>
      </c>
      <c r="C14" s="38">
        <v>15.93</v>
      </c>
      <c r="D14" s="38">
        <v>16.73</v>
      </c>
      <c r="E14" s="38">
        <v>17.57</v>
      </c>
      <c r="F14" s="38">
        <v>18.45</v>
      </c>
      <c r="G14" s="38">
        <v>19.37</v>
      </c>
      <c r="H14" s="38">
        <f t="shared" si="1"/>
        <v>19.37</v>
      </c>
      <c r="I14" s="38">
        <f>+G14</f>
        <v>19.37</v>
      </c>
      <c r="J14" s="38">
        <f>+G14</f>
        <v>19.37</v>
      </c>
      <c r="K14" s="38">
        <f>+H14</f>
        <v>19.37</v>
      </c>
      <c r="L14" s="99"/>
      <c r="M14" s="38"/>
      <c r="N14" s="38"/>
      <c r="O14" s="222" t="s">
        <v>83</v>
      </c>
      <c r="P14" s="247"/>
      <c r="Q14" s="247"/>
      <c r="R14" s="247"/>
      <c r="S14" s="247"/>
      <c r="T14" s="221"/>
    </row>
    <row r="15" spans="1:20" ht="13.5">
      <c r="A15" s="44" t="s">
        <v>0</v>
      </c>
      <c r="B15" s="45">
        <f aca="true" t="shared" si="2" ref="B15:I15">SUM(B5:B14)</f>
        <v>153.28923076923076</v>
      </c>
      <c r="C15" s="45">
        <f t="shared" si="2"/>
        <v>160.75692307692307</v>
      </c>
      <c r="D15" s="45">
        <f t="shared" si="2"/>
        <v>168.55076923076922</v>
      </c>
      <c r="E15" s="45">
        <f t="shared" si="2"/>
        <v>176.72846153846154</v>
      </c>
      <c r="F15" s="45">
        <f t="shared" si="2"/>
        <v>185.23128205128205</v>
      </c>
      <c r="G15" s="45">
        <f t="shared" si="2"/>
        <v>189.77128205128207</v>
      </c>
      <c r="H15" s="45">
        <f t="shared" si="2"/>
        <v>190.93128205128204</v>
      </c>
      <c r="I15" s="45">
        <f t="shared" si="2"/>
        <v>191.37628205128203</v>
      </c>
      <c r="J15" s="45">
        <f>SUM(J5:J14)</f>
        <v>191.37628205128203</v>
      </c>
      <c r="K15" s="45">
        <f>SUM(K5:K14)</f>
        <v>192.65581538461538</v>
      </c>
      <c r="L15" s="46"/>
      <c r="M15" s="46"/>
      <c r="N15" s="46"/>
      <c r="O15" s="236"/>
      <c r="P15" s="237"/>
      <c r="Q15" s="237"/>
      <c r="R15" s="237"/>
      <c r="S15" s="237"/>
      <c r="T15" s="238"/>
    </row>
    <row r="16" spans="1:20" ht="13.5">
      <c r="A16" s="11" t="s">
        <v>45</v>
      </c>
      <c r="B16" s="45">
        <f>B15/10</f>
        <v>15.328923076923076</v>
      </c>
      <c r="C16" s="45">
        <f aca="true" t="shared" si="3" ref="C16:K16">C15/10</f>
        <v>16.075692307692307</v>
      </c>
      <c r="D16" s="45">
        <f t="shared" si="3"/>
        <v>16.855076923076922</v>
      </c>
      <c r="E16" s="45">
        <f t="shared" si="3"/>
        <v>17.672846153846155</v>
      </c>
      <c r="F16" s="45">
        <f t="shared" si="3"/>
        <v>18.523128205128206</v>
      </c>
      <c r="G16" s="131">
        <f t="shared" si="3"/>
        <v>18.977128205128206</v>
      </c>
      <c r="H16" s="131">
        <f t="shared" si="3"/>
        <v>19.093128205128203</v>
      </c>
      <c r="I16" s="45">
        <f t="shared" si="3"/>
        <v>19.137628205128202</v>
      </c>
      <c r="J16" s="45">
        <f t="shared" si="3"/>
        <v>19.137628205128202</v>
      </c>
      <c r="K16" s="46">
        <f t="shared" si="3"/>
        <v>19.26558153846154</v>
      </c>
      <c r="L16" s="46"/>
      <c r="M16" s="46"/>
      <c r="N16" s="46"/>
      <c r="O16" s="239"/>
      <c r="P16" s="240"/>
      <c r="Q16" s="240"/>
      <c r="R16" s="240"/>
      <c r="S16" s="240"/>
      <c r="T16" s="241"/>
    </row>
    <row r="17" spans="1:20" ht="14.25" thickBot="1">
      <c r="A17" s="60" t="s">
        <v>46</v>
      </c>
      <c r="B17" s="61">
        <f>B16*2080</f>
        <v>31884.159999999996</v>
      </c>
      <c r="C17" s="61">
        <f aca="true" t="shared" si="4" ref="C17:K17">C16*2080</f>
        <v>33437.44</v>
      </c>
      <c r="D17" s="61">
        <f t="shared" si="4"/>
        <v>35058.56</v>
      </c>
      <c r="E17" s="61">
        <f t="shared" si="4"/>
        <v>36759.520000000004</v>
      </c>
      <c r="F17" s="61">
        <f t="shared" si="4"/>
        <v>38528.10666666667</v>
      </c>
      <c r="G17" s="148">
        <f t="shared" si="4"/>
        <v>39472.426666666666</v>
      </c>
      <c r="H17" s="148">
        <f t="shared" si="4"/>
        <v>39713.70666666666</v>
      </c>
      <c r="I17" s="61">
        <f t="shared" si="4"/>
        <v>39806.26666666666</v>
      </c>
      <c r="J17" s="61">
        <f t="shared" si="4"/>
        <v>39806.26666666666</v>
      </c>
      <c r="K17" s="61">
        <f t="shared" si="4"/>
        <v>40072.4096</v>
      </c>
      <c r="L17" s="61"/>
      <c r="M17" s="62"/>
      <c r="N17" s="62"/>
      <c r="O17" s="63"/>
      <c r="P17" s="63"/>
      <c r="Q17" s="63"/>
      <c r="R17" s="63"/>
      <c r="S17" s="63"/>
      <c r="T17" s="63"/>
    </row>
    <row r="18" spans="1:20" ht="13.5" thickTop="1">
      <c r="A18" s="64"/>
      <c r="B18" s="64"/>
      <c r="C18" s="64"/>
      <c r="D18" s="64"/>
      <c r="E18" s="64"/>
      <c r="F18" s="64"/>
      <c r="G18" s="64"/>
      <c r="H18" s="64"/>
      <c r="I18" s="64"/>
      <c r="J18" s="64"/>
      <c r="K18" s="64"/>
      <c r="L18" s="64"/>
      <c r="M18" s="64"/>
      <c r="N18" s="64"/>
      <c r="O18" s="64"/>
      <c r="P18" s="64"/>
      <c r="Q18" s="64"/>
      <c r="R18" s="64"/>
      <c r="S18" s="64"/>
      <c r="T18" s="64"/>
    </row>
    <row r="19" spans="1:20" ht="12.75">
      <c r="A19" s="191" t="s">
        <v>124</v>
      </c>
      <c r="B19" s="192"/>
      <c r="C19" s="192"/>
      <c r="D19" s="192"/>
      <c r="E19" s="192"/>
      <c r="F19" s="192"/>
      <c r="G19" s="192"/>
      <c r="H19" s="192"/>
      <c r="I19" s="192"/>
      <c r="J19" s="192"/>
      <c r="K19" s="192"/>
      <c r="L19" s="192"/>
      <c r="M19" s="192"/>
      <c r="N19" s="192"/>
      <c r="O19" s="192"/>
      <c r="P19" s="39"/>
      <c r="Q19" s="39"/>
      <c r="R19" s="39"/>
      <c r="S19" s="39"/>
      <c r="T19" s="39"/>
    </row>
    <row r="20" ht="13.5">
      <c r="A20" s="56" t="s">
        <v>47</v>
      </c>
    </row>
    <row r="21" spans="1:18" ht="12.75">
      <c r="A21" s="207" t="s">
        <v>30</v>
      </c>
      <c r="B21" s="208"/>
      <c r="C21" s="208"/>
      <c r="D21" s="208"/>
      <c r="E21" s="208"/>
      <c r="F21" s="208"/>
      <c r="Q21" s="111"/>
      <c r="R21" s="111"/>
    </row>
    <row r="22" spans="1:18" ht="12.75">
      <c r="A22" s="191"/>
      <c r="B22" s="192"/>
      <c r="C22" s="192"/>
      <c r="D22" s="192"/>
      <c r="E22" s="192"/>
      <c r="F22" s="192"/>
      <c r="G22" s="192"/>
      <c r="H22" s="192"/>
      <c r="I22" s="192"/>
      <c r="J22" s="192"/>
      <c r="K22" s="192"/>
      <c r="L22" s="192"/>
      <c r="M22" s="192"/>
      <c r="N22" s="192"/>
      <c r="O22" s="192"/>
      <c r="R22" s="111"/>
    </row>
    <row r="23" spans="1:20" ht="12.75">
      <c r="A23" s="52"/>
      <c r="B23" s="52"/>
      <c r="C23" s="52"/>
      <c r="D23" s="52"/>
      <c r="E23" s="52"/>
      <c r="F23" s="52"/>
      <c r="G23" s="52"/>
      <c r="H23" s="52"/>
      <c r="I23" s="52"/>
      <c r="J23" s="52"/>
      <c r="K23" s="52"/>
      <c r="L23" s="52"/>
      <c r="M23" s="52"/>
      <c r="N23" s="52"/>
      <c r="O23" s="52"/>
      <c r="P23" s="52"/>
      <c r="Q23" s="52"/>
      <c r="R23" s="52"/>
      <c r="S23" s="52"/>
      <c r="T23" s="51"/>
    </row>
    <row r="24" spans="1:20" ht="14.25">
      <c r="A24" s="132"/>
      <c r="B24" s="59"/>
      <c r="C24" s="59"/>
      <c r="D24" s="52"/>
      <c r="E24" s="52"/>
      <c r="F24" s="52"/>
      <c r="G24" s="52"/>
      <c r="H24" s="52"/>
      <c r="I24" s="52"/>
      <c r="J24" s="52"/>
      <c r="K24" s="133"/>
      <c r="L24" s="134"/>
      <c r="M24" s="135"/>
      <c r="N24" s="52"/>
      <c r="O24" s="52"/>
      <c r="P24" s="52"/>
      <c r="Q24" s="52"/>
      <c r="R24" s="52"/>
      <c r="S24" s="52"/>
      <c r="T24" s="53"/>
    </row>
    <row r="25" spans="1:20" ht="13.5">
      <c r="A25" s="136"/>
      <c r="B25" s="137"/>
      <c r="C25" s="137"/>
      <c r="D25" s="137"/>
      <c r="E25" s="137"/>
      <c r="F25" s="137"/>
      <c r="G25" s="137"/>
      <c r="H25" s="137"/>
      <c r="I25" s="137"/>
      <c r="J25" s="137"/>
      <c r="K25" s="137"/>
      <c r="L25" s="137"/>
      <c r="M25" s="137"/>
      <c r="N25" s="52"/>
      <c r="O25" s="52"/>
      <c r="P25" s="52"/>
      <c r="Q25" s="52"/>
      <c r="R25" s="52"/>
      <c r="S25" s="52"/>
      <c r="T25" s="53"/>
    </row>
    <row r="26" spans="1:20" ht="13.5" customHeight="1">
      <c r="A26" s="136"/>
      <c r="B26" s="137"/>
      <c r="C26" s="137"/>
      <c r="D26" s="137"/>
      <c r="E26" s="137"/>
      <c r="F26" s="137"/>
      <c r="G26" s="137"/>
      <c r="H26" s="137"/>
      <c r="I26" s="137"/>
      <c r="J26" s="137"/>
      <c r="K26" s="137"/>
      <c r="L26" s="137"/>
      <c r="M26" s="137"/>
      <c r="N26" s="52"/>
      <c r="O26" s="52"/>
      <c r="P26" s="52"/>
      <c r="Q26" s="52"/>
      <c r="R26" s="52"/>
      <c r="S26" s="52"/>
      <c r="T26" s="53"/>
    </row>
    <row r="27" spans="1:20" ht="13.5" customHeight="1">
      <c r="A27" s="138"/>
      <c r="B27" s="52"/>
      <c r="C27" s="52"/>
      <c r="D27" s="52"/>
      <c r="E27" s="52"/>
      <c r="F27" s="52"/>
      <c r="G27" s="52"/>
      <c r="H27" s="52"/>
      <c r="I27" s="52"/>
      <c r="J27" s="52"/>
      <c r="K27" s="52"/>
      <c r="L27" s="52"/>
      <c r="M27" s="52"/>
      <c r="N27" s="52"/>
      <c r="O27" s="52"/>
      <c r="P27" s="52"/>
      <c r="Q27" s="52"/>
      <c r="R27" s="52"/>
      <c r="S27" s="52"/>
      <c r="T27" s="55"/>
    </row>
    <row r="28" spans="1:19" ht="13.5">
      <c r="A28" s="139"/>
      <c r="B28" s="52"/>
      <c r="C28" s="52"/>
      <c r="D28" s="52"/>
      <c r="E28" s="52"/>
      <c r="F28" s="52"/>
      <c r="G28" s="52"/>
      <c r="H28" s="52"/>
      <c r="I28" s="52"/>
      <c r="J28" s="52"/>
      <c r="K28" s="52"/>
      <c r="L28" s="52"/>
      <c r="M28" s="52"/>
      <c r="N28" s="52"/>
      <c r="O28" s="52"/>
      <c r="P28" s="52"/>
      <c r="Q28" s="52"/>
      <c r="R28" s="52"/>
      <c r="S28" s="52"/>
    </row>
  </sheetData>
  <mergeCells count="22">
    <mergeCell ref="O8:T8"/>
    <mergeCell ref="O13:T13"/>
    <mergeCell ref="O12:T12"/>
    <mergeCell ref="O11:T11"/>
    <mergeCell ref="O15:T16"/>
    <mergeCell ref="A1:S1"/>
    <mergeCell ref="A2:S2"/>
    <mergeCell ref="O7:T7"/>
    <mergeCell ref="O6:T6"/>
    <mergeCell ref="O5:T5"/>
    <mergeCell ref="O4:T4"/>
    <mergeCell ref="O3:Q3"/>
    <mergeCell ref="R3:T3"/>
    <mergeCell ref="A22:O22"/>
    <mergeCell ref="A19:O19"/>
    <mergeCell ref="O10:T10"/>
    <mergeCell ref="O9:T9"/>
    <mergeCell ref="V13:W13"/>
    <mergeCell ref="O14:T14"/>
    <mergeCell ref="A21:F21"/>
    <mergeCell ref="V10:W10"/>
    <mergeCell ref="V11:W11"/>
  </mergeCells>
  <printOptions/>
  <pageMargins left="0.5" right="0.5" top="1" bottom="1" header="0.5" footer="0.5"/>
  <pageSetup fitToHeight="2" horizontalDpi="600" verticalDpi="600" orientation="landscape" scale="85" r:id="rId1"/>
  <headerFooter alignWithMargins="0">
    <oddFooter>&amp;L&amp;7&amp;Z&amp;F</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9"/>
  <sheetViews>
    <sheetView workbookViewId="0" topLeftCell="A1">
      <selection activeCell="D19" sqref="D19"/>
    </sheetView>
  </sheetViews>
  <sheetFormatPr defaultColWidth="9.140625" defaultRowHeight="12.75"/>
  <cols>
    <col min="1" max="1" width="18.00390625" style="0" customWidth="1"/>
    <col min="2" max="2" width="8.421875" style="0" customWidth="1"/>
    <col min="3" max="3" width="7.7109375" style="0" customWidth="1"/>
    <col min="4" max="4" width="9.00390625" style="0" customWidth="1"/>
    <col min="5" max="6" width="7.8515625" style="0" customWidth="1"/>
    <col min="7" max="7" width="8.7109375" style="0" customWidth="1"/>
    <col min="8" max="8" width="9.140625" style="0" bestFit="1" customWidth="1"/>
    <col min="9" max="9" width="10.421875" style="0" bestFit="1" customWidth="1"/>
    <col min="10" max="10" width="8.8515625" style="0" customWidth="1"/>
    <col min="11" max="11" width="9.7109375" style="0" customWidth="1"/>
    <col min="12" max="12" width="10.57421875" style="0" bestFit="1" customWidth="1"/>
    <col min="13" max="13" width="8.421875" style="0" bestFit="1" customWidth="1"/>
    <col min="14" max="14" width="8.28125" style="0" bestFit="1" customWidth="1"/>
    <col min="15" max="15" width="28.28125" style="0" customWidth="1"/>
    <col min="16" max="16" width="2.7109375" style="0" customWidth="1"/>
  </cols>
  <sheetData>
    <row r="1" spans="1:15" ht="12.75" customHeight="1">
      <c r="A1" s="195" t="s">
        <v>185</v>
      </c>
      <c r="B1" s="195"/>
      <c r="C1" s="195"/>
      <c r="D1" s="195"/>
      <c r="E1" s="195"/>
      <c r="F1" s="195"/>
      <c r="G1" s="195"/>
      <c r="H1" s="195"/>
      <c r="I1" s="195"/>
      <c r="J1" s="196"/>
      <c r="K1" s="196"/>
      <c r="L1" s="196"/>
      <c r="M1" s="196"/>
      <c r="N1" s="196"/>
      <c r="O1" s="196"/>
    </row>
    <row r="2" spans="1:15" ht="12.75">
      <c r="A2" s="200" t="s">
        <v>144</v>
      </c>
      <c r="B2" s="201"/>
      <c r="C2" s="201"/>
      <c r="D2" s="201"/>
      <c r="E2" s="201"/>
      <c r="F2" s="201"/>
      <c r="G2" s="201"/>
      <c r="H2" s="201"/>
      <c r="I2" s="201"/>
      <c r="J2" s="201"/>
      <c r="K2" s="201"/>
      <c r="L2" s="201"/>
      <c r="M2" s="201"/>
      <c r="N2" s="201"/>
      <c r="O2" s="201"/>
    </row>
    <row r="3" spans="1:15" ht="18" customHeight="1">
      <c r="A3" s="210" t="s">
        <v>173</v>
      </c>
      <c r="B3" s="210"/>
      <c r="C3" s="210"/>
      <c r="D3" s="210"/>
      <c r="E3" s="210"/>
      <c r="F3" s="210"/>
      <c r="G3" s="210"/>
      <c r="H3" s="210"/>
      <c r="I3" s="210"/>
      <c r="J3" s="211"/>
      <c r="K3" s="211"/>
      <c r="L3" s="211"/>
      <c r="M3" s="211"/>
      <c r="N3" s="211"/>
      <c r="O3" s="211"/>
    </row>
    <row r="4" spans="11:15" ht="9.75" customHeight="1">
      <c r="K4" s="198" t="s">
        <v>174</v>
      </c>
      <c r="L4" s="209"/>
      <c r="M4" s="209"/>
      <c r="N4" s="209"/>
      <c r="O4" s="209"/>
    </row>
    <row r="5" spans="1:15" ht="12.75">
      <c r="A5" s="1" t="s">
        <v>10</v>
      </c>
      <c r="B5" s="2"/>
      <c r="C5" s="141" t="s">
        <v>8</v>
      </c>
      <c r="D5" s="97" t="s">
        <v>7</v>
      </c>
      <c r="E5" s="97" t="s">
        <v>6</v>
      </c>
      <c r="F5" s="97" t="s">
        <v>5</v>
      </c>
      <c r="G5" s="97" t="s">
        <v>4</v>
      </c>
      <c r="H5" s="97" t="s">
        <v>3</v>
      </c>
      <c r="I5" s="97" t="s">
        <v>2</v>
      </c>
      <c r="J5" s="97" t="s">
        <v>1</v>
      </c>
      <c r="K5" s="97" t="s">
        <v>28</v>
      </c>
      <c r="L5" s="98" t="s">
        <v>32</v>
      </c>
      <c r="M5" s="98" t="s">
        <v>141</v>
      </c>
      <c r="N5" s="98" t="s">
        <v>142</v>
      </c>
      <c r="O5" s="2" t="s">
        <v>149</v>
      </c>
    </row>
    <row r="6" spans="1:17" ht="12.75">
      <c r="A6" s="25" t="s">
        <v>176</v>
      </c>
      <c r="B6" s="166"/>
      <c r="C6" s="4">
        <v>65448</v>
      </c>
      <c r="D6" s="4">
        <v>68423</v>
      </c>
      <c r="E6" s="4">
        <v>71398</v>
      </c>
      <c r="F6" s="4">
        <v>74373</v>
      </c>
      <c r="G6" s="4">
        <v>77348</v>
      </c>
      <c r="H6" s="4">
        <v>79330</v>
      </c>
      <c r="I6" s="4">
        <v>83297</v>
      </c>
      <c r="J6" s="4">
        <f>+$I6</f>
        <v>83297</v>
      </c>
      <c r="K6" s="4">
        <f aca="true" t="shared" si="0" ref="K6:N6">+$I6</f>
        <v>83297</v>
      </c>
      <c r="L6" s="4">
        <f t="shared" si="0"/>
        <v>83297</v>
      </c>
      <c r="M6" s="4">
        <f t="shared" si="0"/>
        <v>83297</v>
      </c>
      <c r="N6" s="4">
        <f t="shared" si="0"/>
        <v>83297</v>
      </c>
      <c r="O6" s="36" t="s">
        <v>100</v>
      </c>
      <c r="P6" s="17"/>
      <c r="Q6" s="162" t="s">
        <v>161</v>
      </c>
    </row>
    <row r="7" spans="1:17" ht="12.75">
      <c r="A7" s="125" t="s">
        <v>139</v>
      </c>
      <c r="B7" s="4"/>
      <c r="C7" s="4">
        <v>65056.45</v>
      </c>
      <c r="D7" s="4">
        <v>68042.71</v>
      </c>
      <c r="E7" s="4">
        <v>71178.74</v>
      </c>
      <c r="F7" s="4">
        <v>74471.45</v>
      </c>
      <c r="G7" s="4">
        <v>77928.79</v>
      </c>
      <c r="H7" s="4">
        <v>81559.05</v>
      </c>
      <c r="I7" s="4">
        <v>82411.97</v>
      </c>
      <c r="J7" s="4">
        <f>+I7</f>
        <v>82411.97</v>
      </c>
      <c r="K7" s="4">
        <f>+J7</f>
        <v>82411.97</v>
      </c>
      <c r="L7" s="4">
        <v>83264.89</v>
      </c>
      <c r="M7" s="4">
        <f>+L7</f>
        <v>83264.89</v>
      </c>
      <c r="N7" s="4">
        <f>+M7</f>
        <v>83264.89</v>
      </c>
      <c r="O7" s="114"/>
      <c r="P7" s="162" t="s">
        <v>79</v>
      </c>
      <c r="Q7" s="162" t="s">
        <v>157</v>
      </c>
    </row>
    <row r="8" spans="1:17" s="16" customFormat="1" ht="22.5">
      <c r="A8" s="25" t="s">
        <v>177</v>
      </c>
      <c r="B8" s="126"/>
      <c r="C8" s="19">
        <f>5112.81*12</f>
        <v>61353.72</v>
      </c>
      <c r="D8" s="126">
        <f>5371.65*12</f>
        <v>64459.799999999996</v>
      </c>
      <c r="E8" s="126">
        <f>5643.59*12</f>
        <v>67723.08</v>
      </c>
      <c r="F8" s="126">
        <f>5929.29*12</f>
        <v>71151.48</v>
      </c>
      <c r="G8" s="126">
        <f>6229.47*12</f>
        <v>74753.64</v>
      </c>
      <c r="H8" s="126">
        <f>6544.83*12</f>
        <v>78537.95999999999</v>
      </c>
      <c r="I8" s="126">
        <f>+H8</f>
        <v>78537.95999999999</v>
      </c>
      <c r="J8" s="126">
        <f>+I8</f>
        <v>78537.95999999999</v>
      </c>
      <c r="K8" s="126">
        <f>+J8</f>
        <v>78537.95999999999</v>
      </c>
      <c r="L8" s="126">
        <f>+K8</f>
        <v>78537.95999999999</v>
      </c>
      <c r="M8" s="126">
        <f>+L8*1.01+1012</f>
        <v>80335.33959999999</v>
      </c>
      <c r="N8" s="126">
        <f>+L8*1.01+1012</f>
        <v>80335.33959999999</v>
      </c>
      <c r="O8" s="5" t="s">
        <v>146</v>
      </c>
      <c r="P8" s="17" t="s">
        <v>79</v>
      </c>
      <c r="Q8" s="164" t="s">
        <v>155</v>
      </c>
    </row>
    <row r="9" spans="1:17" ht="18.75">
      <c r="A9" s="125" t="s">
        <v>147</v>
      </c>
      <c r="B9" s="24"/>
      <c r="C9" s="116">
        <f>D9/(E9/D9)</f>
        <v>86570.94093902387</v>
      </c>
      <c r="D9" s="116">
        <f>E9/(F9/E9)</f>
        <v>90767.26687712969</v>
      </c>
      <c r="E9" s="24">
        <v>95167</v>
      </c>
      <c r="F9" s="24">
        <v>99780</v>
      </c>
      <c r="G9" s="24">
        <v>104620</v>
      </c>
      <c r="H9" s="24">
        <v>107166</v>
      </c>
      <c r="I9" s="24">
        <v>109771</v>
      </c>
      <c r="J9" s="24">
        <v>112432</v>
      </c>
      <c r="K9" s="24">
        <v>115170</v>
      </c>
      <c r="L9" s="24">
        <v>118510</v>
      </c>
      <c r="M9" s="24">
        <f>+L9</f>
        <v>118510</v>
      </c>
      <c r="N9" s="24">
        <f>+L9</f>
        <v>118510</v>
      </c>
      <c r="O9" s="117" t="s">
        <v>93</v>
      </c>
      <c r="P9" s="162" t="s">
        <v>79</v>
      </c>
      <c r="Q9" s="162" t="s">
        <v>156</v>
      </c>
    </row>
    <row r="10" spans="1:17" ht="22.5">
      <c r="A10" s="25" t="s">
        <v>148</v>
      </c>
      <c r="B10" s="4"/>
      <c r="C10" s="4">
        <v>50711</v>
      </c>
      <c r="D10" s="4">
        <v>53500</v>
      </c>
      <c r="E10" s="4">
        <v>56416</v>
      </c>
      <c r="F10" s="4">
        <v>59499</v>
      </c>
      <c r="G10" s="4">
        <v>62748</v>
      </c>
      <c r="H10" s="4">
        <v>66176</v>
      </c>
      <c r="I10" s="4">
        <v>69796</v>
      </c>
      <c r="J10" s="4">
        <v>73609</v>
      </c>
      <c r="K10" s="4">
        <f>+J10</f>
        <v>73609</v>
      </c>
      <c r="L10" s="4">
        <f>+K10</f>
        <v>73609</v>
      </c>
      <c r="M10" s="18">
        <f>+L10*1.02</f>
        <v>75081.18000000001</v>
      </c>
      <c r="N10" s="18">
        <f>+L10*1.04</f>
        <v>76553.36</v>
      </c>
      <c r="O10" s="5" t="s">
        <v>150</v>
      </c>
      <c r="P10" s="162" t="s">
        <v>79</v>
      </c>
      <c r="Q10" s="123" t="s">
        <v>154</v>
      </c>
    </row>
    <row r="11" spans="1:17" s="16" customFormat="1" ht="22.5">
      <c r="A11" s="25" t="s">
        <v>151</v>
      </c>
      <c r="B11" s="126"/>
      <c r="C11" s="126">
        <v>64566</v>
      </c>
      <c r="D11" s="126">
        <v>67801</v>
      </c>
      <c r="E11" s="126">
        <v>71180</v>
      </c>
      <c r="F11" s="126">
        <v>74747</v>
      </c>
      <c r="G11" s="126">
        <v>78488</v>
      </c>
      <c r="H11" s="127">
        <f>+G11*1.01</f>
        <v>79272.88</v>
      </c>
      <c r="I11" s="126">
        <f>+H11</f>
        <v>79272.88</v>
      </c>
      <c r="J11" s="127">
        <f>+I11*1.01</f>
        <v>80065.6088</v>
      </c>
      <c r="K11" s="126">
        <f>+J11</f>
        <v>80065.6088</v>
      </c>
      <c r="L11" s="126">
        <f>+K11</f>
        <v>80065.6088</v>
      </c>
      <c r="M11" s="126">
        <f>+L11</f>
        <v>80065.6088</v>
      </c>
      <c r="N11" s="126">
        <f>+L11</f>
        <v>80065.6088</v>
      </c>
      <c r="O11" s="5" t="s">
        <v>81</v>
      </c>
      <c r="P11" s="162" t="s">
        <v>79</v>
      </c>
      <c r="Q11" s="165" t="s">
        <v>158</v>
      </c>
    </row>
    <row r="12" spans="1:17" ht="33.75">
      <c r="A12" s="25" t="s">
        <v>118</v>
      </c>
      <c r="B12" s="4"/>
      <c r="C12" s="4" t="s">
        <v>162</v>
      </c>
      <c r="D12" s="4"/>
      <c r="E12" s="4"/>
      <c r="F12" s="4"/>
      <c r="G12" s="143"/>
      <c r="H12" s="18"/>
      <c r="I12" s="4"/>
      <c r="J12" s="4"/>
      <c r="K12" s="4"/>
      <c r="L12" s="18"/>
      <c r="M12" s="4"/>
      <c r="N12" s="4"/>
      <c r="O12" s="5" t="s">
        <v>37</v>
      </c>
      <c r="P12" s="17"/>
      <c r="Q12" s="17"/>
    </row>
    <row r="13" spans="1:17" ht="12.75">
      <c r="A13" s="25" t="s">
        <v>122</v>
      </c>
      <c r="B13" s="4"/>
      <c r="C13" s="4">
        <v>62982</v>
      </c>
      <c r="D13" s="4">
        <v>66687</v>
      </c>
      <c r="E13" s="4">
        <v>70391</v>
      </c>
      <c r="F13" s="4">
        <v>74096</v>
      </c>
      <c r="G13" s="4">
        <f>+$F13</f>
        <v>74096</v>
      </c>
      <c r="H13" s="4">
        <f aca="true" t="shared" si="1" ref="H13:N13">+$F13</f>
        <v>74096</v>
      </c>
      <c r="I13" s="4">
        <f t="shared" si="1"/>
        <v>74096</v>
      </c>
      <c r="J13" s="4">
        <f t="shared" si="1"/>
        <v>74096</v>
      </c>
      <c r="K13" s="4">
        <f t="shared" si="1"/>
        <v>74096</v>
      </c>
      <c r="L13" s="4">
        <f t="shared" si="1"/>
        <v>74096</v>
      </c>
      <c r="M13" s="4">
        <f t="shared" si="1"/>
        <v>74096</v>
      </c>
      <c r="N13" s="4">
        <f t="shared" si="1"/>
        <v>74096</v>
      </c>
      <c r="O13" s="5" t="s">
        <v>84</v>
      </c>
      <c r="P13" s="162" t="s">
        <v>79</v>
      </c>
      <c r="Q13" t="s">
        <v>159</v>
      </c>
    </row>
    <row r="14" spans="1:17" ht="12.75">
      <c r="A14" s="25" t="s">
        <v>175</v>
      </c>
      <c r="B14" s="4"/>
      <c r="C14" s="4">
        <v>74489</v>
      </c>
      <c r="D14" s="4">
        <v>77787</v>
      </c>
      <c r="E14" s="4">
        <v>81234</v>
      </c>
      <c r="F14" s="4">
        <v>84836</v>
      </c>
      <c r="G14" s="4">
        <v>88599</v>
      </c>
      <c r="H14" s="127">
        <f>+G14*1.02</f>
        <v>90370.98</v>
      </c>
      <c r="I14" s="4">
        <f>+H14</f>
        <v>90370.98</v>
      </c>
      <c r="J14" s="4">
        <f>+I14</f>
        <v>90370.98</v>
      </c>
      <c r="K14" s="4">
        <f>+J14</f>
        <v>90370.98</v>
      </c>
      <c r="L14" s="4">
        <f>+K14</f>
        <v>90370.98</v>
      </c>
      <c r="M14" s="4">
        <f>+J14</f>
        <v>90370.98</v>
      </c>
      <c r="N14" s="4">
        <f>+K14</f>
        <v>90370.98</v>
      </c>
      <c r="O14" s="5" t="s">
        <v>127</v>
      </c>
      <c r="P14" s="162" t="s">
        <v>79</v>
      </c>
      <c r="Q14" s="162" t="s">
        <v>169</v>
      </c>
    </row>
    <row r="15" spans="1:17" ht="22.5">
      <c r="A15" s="25" t="s">
        <v>120</v>
      </c>
      <c r="B15" s="4"/>
      <c r="C15" s="19">
        <v>67135</v>
      </c>
      <c r="D15" s="19">
        <v>70490</v>
      </c>
      <c r="E15" s="19">
        <v>74015</v>
      </c>
      <c r="F15" s="19">
        <v>77715</v>
      </c>
      <c r="G15" s="19">
        <v>81600</v>
      </c>
      <c r="H15" s="19">
        <v>85680</v>
      </c>
      <c r="I15" s="19">
        <f>+H15</f>
        <v>85680</v>
      </c>
      <c r="J15" s="19">
        <f>+I15</f>
        <v>85680</v>
      </c>
      <c r="K15" s="19">
        <v>88253</v>
      </c>
      <c r="L15" s="19">
        <f>+K15</f>
        <v>88253</v>
      </c>
      <c r="M15" s="19">
        <f>+L15</f>
        <v>88253</v>
      </c>
      <c r="N15" s="19">
        <f>+M15</f>
        <v>88253</v>
      </c>
      <c r="O15" s="5" t="s">
        <v>153</v>
      </c>
      <c r="P15" s="162" t="s">
        <v>79</v>
      </c>
      <c r="Q15" s="165" t="s">
        <v>160</v>
      </c>
    </row>
    <row r="16" spans="1:15" ht="12.75">
      <c r="A16" s="25" t="s">
        <v>0</v>
      </c>
      <c r="B16" s="1"/>
      <c r="C16" s="4">
        <f>SUM(C6:C15)</f>
        <v>598312.1109390238</v>
      </c>
      <c r="D16" s="4">
        <f aca="true" t="shared" si="2" ref="D16:N16">SUM(D6:D15)</f>
        <v>627957.7768771297</v>
      </c>
      <c r="E16" s="4">
        <f t="shared" si="2"/>
        <v>658702.8200000001</v>
      </c>
      <c r="F16" s="4">
        <f t="shared" si="2"/>
        <v>690668.9299999999</v>
      </c>
      <c r="G16" s="145">
        <f t="shared" si="2"/>
        <v>720181.4299999999</v>
      </c>
      <c r="H16" s="4">
        <f t="shared" si="2"/>
        <v>742188.87</v>
      </c>
      <c r="I16" s="4">
        <f t="shared" si="2"/>
        <v>753233.79</v>
      </c>
      <c r="J16" s="4">
        <f t="shared" si="2"/>
        <v>760500.5188</v>
      </c>
      <c r="K16" s="4">
        <f t="shared" si="2"/>
        <v>765811.5188</v>
      </c>
      <c r="L16" s="4">
        <f t="shared" si="2"/>
        <v>770004.4387999999</v>
      </c>
      <c r="M16" s="4">
        <f t="shared" si="2"/>
        <v>773273.9983999999</v>
      </c>
      <c r="N16" s="4">
        <f t="shared" si="2"/>
        <v>774746.1784</v>
      </c>
      <c r="O16" s="1"/>
    </row>
    <row r="17" spans="1:15" ht="12.75">
      <c r="A17" s="5" t="s">
        <v>170</v>
      </c>
      <c r="B17" s="167">
        <v>260</v>
      </c>
      <c r="C17" s="4">
        <f>C16/9</f>
        <v>66479.1234376693</v>
      </c>
      <c r="D17" s="4">
        <f aca="true" t="shared" si="3" ref="D17:N17">D16/9</f>
        <v>69773.08631968108</v>
      </c>
      <c r="E17" s="4">
        <f t="shared" si="3"/>
        <v>73189.20222222223</v>
      </c>
      <c r="F17" s="4">
        <f t="shared" si="3"/>
        <v>76740.99222222221</v>
      </c>
      <c r="G17" s="4">
        <f t="shared" si="3"/>
        <v>80020.15888888888</v>
      </c>
      <c r="H17" s="4">
        <f t="shared" si="3"/>
        <v>82465.43</v>
      </c>
      <c r="I17" s="4">
        <f t="shared" si="3"/>
        <v>83692.64333333334</v>
      </c>
      <c r="J17" s="4">
        <f t="shared" si="3"/>
        <v>84500.05764444445</v>
      </c>
      <c r="K17" s="4">
        <f t="shared" si="3"/>
        <v>85090.16875555555</v>
      </c>
      <c r="L17" s="4">
        <f t="shared" si="3"/>
        <v>85556.04875555554</v>
      </c>
      <c r="M17" s="4">
        <f t="shared" si="3"/>
        <v>85919.33315555555</v>
      </c>
      <c r="N17" s="4">
        <f t="shared" si="3"/>
        <v>86082.90871111111</v>
      </c>
      <c r="O17" s="1"/>
    </row>
    <row r="18" spans="1:15" ht="24.75" customHeight="1">
      <c r="A18" s="5" t="s">
        <v>171</v>
      </c>
      <c r="B18" s="1"/>
      <c r="C18" s="8">
        <f>C17/$B17</f>
        <v>255.6889362987281</v>
      </c>
      <c r="D18" s="8">
        <f aca="true" t="shared" si="4" ref="D18:N18">D17/$B17</f>
        <v>268.3580243064657</v>
      </c>
      <c r="E18" s="8">
        <f t="shared" si="4"/>
        <v>281.49693162393163</v>
      </c>
      <c r="F18" s="8">
        <f t="shared" si="4"/>
        <v>295.15766239316235</v>
      </c>
      <c r="G18" s="8">
        <f t="shared" si="4"/>
        <v>307.76984188034186</v>
      </c>
      <c r="H18" s="8">
        <f t="shared" si="4"/>
        <v>317.17473076923073</v>
      </c>
      <c r="I18" s="8">
        <f t="shared" si="4"/>
        <v>321.8947820512821</v>
      </c>
      <c r="J18" s="8">
        <f t="shared" si="4"/>
        <v>325.0002217094017</v>
      </c>
      <c r="K18" s="8">
        <f t="shared" si="4"/>
        <v>327.26987982905985</v>
      </c>
      <c r="L18" s="8">
        <f t="shared" si="4"/>
        <v>329.06172598290595</v>
      </c>
      <c r="M18" s="8">
        <f t="shared" si="4"/>
        <v>330.45897367521366</v>
      </c>
      <c r="N18" s="8">
        <f t="shared" si="4"/>
        <v>331.08811042735044</v>
      </c>
      <c r="O18" s="1"/>
    </row>
    <row r="19" spans="1:15" ht="39" customHeight="1">
      <c r="A19" s="5" t="s">
        <v>172</v>
      </c>
      <c r="B19" s="1">
        <v>260</v>
      </c>
      <c r="C19" s="4">
        <f>C18*$B19*0.75</f>
        <v>49859.34257825198</v>
      </c>
      <c r="D19" s="4">
        <f aca="true" t="shared" si="5" ref="D19:N19">D18*$B19*0.75</f>
        <v>52329.81473976081</v>
      </c>
      <c r="E19" s="4">
        <f t="shared" si="5"/>
        <v>54891.90166666667</v>
      </c>
      <c r="F19" s="4">
        <f t="shared" si="5"/>
        <v>57555.74416666666</v>
      </c>
      <c r="G19" s="4">
        <f t="shared" si="5"/>
        <v>60015.11916666666</v>
      </c>
      <c r="H19" s="4">
        <f t="shared" si="5"/>
        <v>61849.072499999995</v>
      </c>
      <c r="I19" s="4">
        <f t="shared" si="5"/>
        <v>62769.482500000006</v>
      </c>
      <c r="J19" s="4">
        <f t="shared" si="5"/>
        <v>63375.04323333333</v>
      </c>
      <c r="K19" s="4">
        <f t="shared" si="5"/>
        <v>63817.626566666666</v>
      </c>
      <c r="L19" s="4">
        <f t="shared" si="5"/>
        <v>64167.03656666666</v>
      </c>
      <c r="M19" s="15">
        <f t="shared" si="5"/>
        <v>64439.499866666665</v>
      </c>
      <c r="N19" s="15">
        <f t="shared" si="5"/>
        <v>64562.181533333336</v>
      </c>
      <c r="O19" s="1"/>
    </row>
    <row r="20" ht="9.75" customHeight="1"/>
    <row r="21" ht="7.5" customHeight="1">
      <c r="L21" t="s">
        <v>38</v>
      </c>
    </row>
    <row r="22" spans="1:15" ht="14.25" customHeight="1">
      <c r="A22" s="207" t="s">
        <v>30</v>
      </c>
      <c r="B22" s="208"/>
      <c r="C22" s="208"/>
      <c r="D22" s="208"/>
      <c r="E22" s="208"/>
      <c r="F22" s="161"/>
      <c r="G22" s="161"/>
      <c r="H22" s="161"/>
      <c r="I22" s="161"/>
      <c r="J22" s="161"/>
      <c r="K22" s="161"/>
      <c r="L22" s="161"/>
      <c r="M22" s="161"/>
      <c r="N22" s="161"/>
      <c r="O22" s="161"/>
    </row>
    <row r="23" spans="1:15" ht="14.25" customHeight="1">
      <c r="A23" s="107"/>
      <c r="B23" s="108"/>
      <c r="C23" s="108"/>
      <c r="D23" s="108"/>
      <c r="E23" s="108"/>
      <c r="F23" s="108"/>
      <c r="G23" s="108"/>
      <c r="H23" s="108"/>
      <c r="I23" s="108"/>
      <c r="J23" s="108"/>
      <c r="K23" s="108"/>
      <c r="L23" s="108"/>
      <c r="M23" s="108"/>
      <c r="N23" s="108"/>
      <c r="O23" s="108"/>
    </row>
    <row r="24" ht="8.25" customHeight="1"/>
    <row r="25" spans="1:8" ht="12.75">
      <c r="A25" s="11" t="s">
        <v>18</v>
      </c>
      <c r="D25" s="207"/>
      <c r="E25" s="208"/>
      <c r="F25" s="208"/>
      <c r="G25" s="208"/>
      <c r="H25" s="208"/>
    </row>
    <row r="26" spans="1:2" ht="12.75">
      <c r="A26" s="1" t="s">
        <v>14</v>
      </c>
      <c r="B26" s="162" t="s">
        <v>178</v>
      </c>
    </row>
    <row r="27" spans="1:2" ht="12.75">
      <c r="A27" s="1" t="s">
        <v>15</v>
      </c>
      <c r="B27" t="s">
        <v>143</v>
      </c>
    </row>
    <row r="28" spans="1:2" ht="12.75">
      <c r="A28" s="1" t="s">
        <v>16</v>
      </c>
      <c r="B28" t="s">
        <v>145</v>
      </c>
    </row>
    <row r="29" spans="1:2" ht="12.75">
      <c r="A29" s="1" t="s">
        <v>17</v>
      </c>
      <c r="B29" s="162" t="s">
        <v>179</v>
      </c>
    </row>
    <row r="30" spans="1:2" ht="12.75">
      <c r="A30" s="1" t="s">
        <v>19</v>
      </c>
      <c r="B30" s="162" t="s">
        <v>180</v>
      </c>
    </row>
    <row r="31" spans="1:2" ht="12.75">
      <c r="A31" s="1" t="s">
        <v>20</v>
      </c>
      <c r="B31" s="162" t="s">
        <v>181</v>
      </c>
    </row>
    <row r="32" ht="12.75">
      <c r="A32" s="1" t="s">
        <v>21</v>
      </c>
    </row>
    <row r="33" spans="1:2" ht="12.75">
      <c r="A33" s="1" t="s">
        <v>22</v>
      </c>
      <c r="B33" s="162" t="s">
        <v>182</v>
      </c>
    </row>
    <row r="34" spans="1:2" ht="12.75">
      <c r="A34" s="1" t="s">
        <v>23</v>
      </c>
      <c r="B34" s="162" t="s">
        <v>183</v>
      </c>
    </row>
    <row r="35" spans="1:2" ht="12.75">
      <c r="A35" s="1" t="s">
        <v>24</v>
      </c>
      <c r="B35" s="162" t="s">
        <v>184</v>
      </c>
    </row>
    <row r="36" ht="12.75">
      <c r="A36" s="1" t="s">
        <v>25</v>
      </c>
    </row>
    <row r="37" spans="1:2" ht="25.5">
      <c r="A37" s="12" t="s">
        <v>26</v>
      </c>
      <c r="B37" s="13">
        <f>SUM(B36)/24</f>
        <v>0</v>
      </c>
    </row>
    <row r="39" spans="1:12" ht="12.75">
      <c r="A39" s="2" t="s">
        <v>88</v>
      </c>
      <c r="C39" s="4">
        <v>77942</v>
      </c>
      <c r="D39" s="4">
        <v>81582</v>
      </c>
      <c r="E39" s="37">
        <v>85405</v>
      </c>
      <c r="F39" s="4">
        <v>89415</v>
      </c>
      <c r="G39" s="4">
        <v>93632</v>
      </c>
      <c r="H39" s="4">
        <v>98057</v>
      </c>
      <c r="I39" s="4">
        <v>100090</v>
      </c>
      <c r="J39" s="4">
        <f>+I39</f>
        <v>100090</v>
      </c>
      <c r="K39" s="4">
        <f>+I39</f>
        <v>100090</v>
      </c>
      <c r="L39" s="4">
        <v>101106</v>
      </c>
    </row>
  </sheetData>
  <mergeCells count="6">
    <mergeCell ref="D25:H25"/>
    <mergeCell ref="A1:O1"/>
    <mergeCell ref="A2:O2"/>
    <mergeCell ref="A3:O3"/>
    <mergeCell ref="K4:O4"/>
    <mergeCell ref="A22:E22"/>
  </mergeCells>
  <printOptions/>
  <pageMargins left="0.25" right="0.25" top="0.75" bottom="1" header="0.5" footer="0.5"/>
  <pageSetup fitToHeight="2" fitToWidth="2" horizontalDpi="600" verticalDpi="600" orientation="landscape" scale="84" r:id="rId3"/>
  <headerFooter alignWithMargins="0">
    <oddFooter>&amp;L&amp;Z&amp;F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workbookViewId="0" topLeftCell="A1">
      <selection activeCell="A1" sqref="A1:O1"/>
    </sheetView>
  </sheetViews>
  <sheetFormatPr defaultColWidth="9.140625" defaultRowHeight="12.75"/>
  <cols>
    <col min="1" max="1" width="17.00390625" style="0" customWidth="1"/>
    <col min="2" max="2" width="7.28125" style="0" customWidth="1"/>
    <col min="3" max="3" width="7.57421875" style="0" customWidth="1"/>
    <col min="4" max="4" width="7.7109375" style="0" customWidth="1"/>
    <col min="5" max="5" width="7.28125" style="0" customWidth="1"/>
    <col min="6" max="9" width="7.7109375" style="0" customWidth="1"/>
    <col min="10" max="10" width="8.140625" style="0" customWidth="1"/>
    <col min="11" max="14" width="7.7109375" style="0" customWidth="1"/>
    <col min="15" max="15" width="36.00390625" style="0" customWidth="1"/>
    <col min="16" max="16" width="2.7109375" style="0" customWidth="1"/>
  </cols>
  <sheetData>
    <row r="1" spans="1:15" ht="32.25" customHeight="1">
      <c r="A1" s="195" t="s">
        <v>220</v>
      </c>
      <c r="B1" s="195"/>
      <c r="C1" s="195"/>
      <c r="D1" s="195"/>
      <c r="E1" s="195"/>
      <c r="F1" s="195"/>
      <c r="G1" s="195"/>
      <c r="H1" s="195"/>
      <c r="I1" s="195"/>
      <c r="J1" s="196"/>
      <c r="K1" s="196"/>
      <c r="L1" s="196"/>
      <c r="M1" s="196"/>
      <c r="N1" s="196"/>
      <c r="O1" s="196"/>
    </row>
    <row r="2" spans="1:17" ht="12.75" customHeight="1">
      <c r="A2" s="202" t="s">
        <v>31</v>
      </c>
      <c r="B2" s="202"/>
      <c r="C2" s="202"/>
      <c r="D2" s="202"/>
      <c r="E2" s="202"/>
      <c r="F2" s="202"/>
      <c r="G2" s="202"/>
      <c r="H2" s="202"/>
      <c r="I2" s="202"/>
      <c r="J2" s="203"/>
      <c r="K2" s="203"/>
      <c r="L2" s="203"/>
      <c r="M2" s="203"/>
      <c r="N2" s="205" t="s">
        <v>244</v>
      </c>
      <c r="O2" s="205"/>
      <c r="P2" s="205"/>
      <c r="Q2" s="206"/>
    </row>
    <row r="3" spans="1:15" ht="12.75">
      <c r="A3" s="1" t="s">
        <v>10</v>
      </c>
      <c r="B3" s="2" t="s">
        <v>9</v>
      </c>
      <c r="C3" s="97" t="s">
        <v>8</v>
      </c>
      <c r="D3" s="97" t="s">
        <v>7</v>
      </c>
      <c r="E3" s="97" t="s">
        <v>6</v>
      </c>
      <c r="F3" s="97" t="s">
        <v>5</v>
      </c>
      <c r="G3" s="97" t="s">
        <v>4</v>
      </c>
      <c r="H3" s="97" t="s">
        <v>3</v>
      </c>
      <c r="I3" s="97" t="s">
        <v>2</v>
      </c>
      <c r="J3" s="97" t="s">
        <v>1</v>
      </c>
      <c r="K3" s="97" t="s">
        <v>28</v>
      </c>
      <c r="L3" s="98" t="s">
        <v>32</v>
      </c>
      <c r="M3" s="3" t="s">
        <v>192</v>
      </c>
      <c r="N3" s="3" t="s">
        <v>212</v>
      </c>
      <c r="O3" s="146" t="s">
        <v>216</v>
      </c>
    </row>
    <row r="4" spans="1:17" ht="12.75">
      <c r="A4" s="25" t="s">
        <v>193</v>
      </c>
      <c r="B4" s="23">
        <v>217</v>
      </c>
      <c r="C4" s="4">
        <v>107491</v>
      </c>
      <c r="D4" s="4">
        <v>110871</v>
      </c>
      <c r="E4" s="4">
        <v>114252</v>
      </c>
      <c r="F4" s="4">
        <v>117632</v>
      </c>
      <c r="G4" s="4">
        <v>121012</v>
      </c>
      <c r="H4" s="4">
        <v>124393</v>
      </c>
      <c r="I4" s="4">
        <v>127773</v>
      </c>
      <c r="J4" s="4">
        <v>131152</v>
      </c>
      <c r="K4" s="4">
        <f>+J4</f>
        <v>131152</v>
      </c>
      <c r="L4" s="4">
        <f>+K4</f>
        <v>131152</v>
      </c>
      <c r="M4" s="4">
        <f>+L4</f>
        <v>131152</v>
      </c>
      <c r="N4" s="4">
        <f>+M4</f>
        <v>131152</v>
      </c>
      <c r="O4" s="25" t="s">
        <v>240</v>
      </c>
      <c r="P4" s="162"/>
      <c r="Q4" s="162"/>
    </row>
    <row r="5" spans="1:17" ht="12.75">
      <c r="A5" s="125" t="s">
        <v>214</v>
      </c>
      <c r="B5" s="23">
        <v>210</v>
      </c>
      <c r="C5" s="4">
        <v>92208</v>
      </c>
      <c r="D5" s="4">
        <v>96527</v>
      </c>
      <c r="E5" s="4">
        <v>101061</v>
      </c>
      <c r="F5" s="4">
        <v>105822</v>
      </c>
      <c r="G5" s="4">
        <v>110821</v>
      </c>
      <c r="H5" s="4">
        <v>116070</v>
      </c>
      <c r="I5" s="4">
        <f>+H5</f>
        <v>116070</v>
      </c>
      <c r="J5" s="4">
        <f>+I5</f>
        <v>116070</v>
      </c>
      <c r="K5" s="4">
        <v>117271</v>
      </c>
      <c r="L5" s="4">
        <f>+K5</f>
        <v>117271</v>
      </c>
      <c r="M5" s="140">
        <v>118472</v>
      </c>
      <c r="N5" s="143">
        <v>119673</v>
      </c>
      <c r="O5" s="114" t="s">
        <v>213</v>
      </c>
      <c r="P5" s="162"/>
      <c r="Q5" s="17"/>
    </row>
    <row r="6" spans="1:17" s="16" customFormat="1" ht="22.5" customHeight="1">
      <c r="A6" s="25" t="s">
        <v>195</v>
      </c>
      <c r="B6" s="128">
        <v>207</v>
      </c>
      <c r="C6" s="126">
        <v>92958</v>
      </c>
      <c r="D6" s="126">
        <v>97606</v>
      </c>
      <c r="E6" s="126">
        <v>102548</v>
      </c>
      <c r="F6" s="126">
        <v>107740</v>
      </c>
      <c r="G6" s="126">
        <v>113194</v>
      </c>
      <c r="H6" s="126">
        <v>118924</v>
      </c>
      <c r="I6" s="126">
        <f>+H6</f>
        <v>118924</v>
      </c>
      <c r="J6" s="126">
        <f>+I6</f>
        <v>118924</v>
      </c>
      <c r="K6" s="127">
        <f>+J6*1.01</f>
        <v>120113.24</v>
      </c>
      <c r="L6" s="126">
        <f>+K6</f>
        <v>120113.24</v>
      </c>
      <c r="M6" s="126">
        <f>+L6</f>
        <v>120113.24</v>
      </c>
      <c r="N6" s="126">
        <f aca="true" t="shared" si="0" ref="N6:N10">+M6</f>
        <v>120113.24</v>
      </c>
      <c r="O6" s="5" t="s">
        <v>218</v>
      </c>
      <c r="P6" s="162"/>
      <c r="Q6" s="120"/>
    </row>
    <row r="7" spans="1:17" ht="30" customHeight="1">
      <c r="A7" s="125" t="s">
        <v>224</v>
      </c>
      <c r="B7" s="119">
        <v>220.5</v>
      </c>
      <c r="C7" s="116">
        <f>D7/(E7/D7)</f>
        <v>115616.1981794669</v>
      </c>
      <c r="D7" s="116">
        <f>E7/(F7/E7)</f>
        <v>121275.58617795398</v>
      </c>
      <c r="E7" s="24">
        <v>127212</v>
      </c>
      <c r="F7" s="24">
        <v>133439</v>
      </c>
      <c r="G7" s="24">
        <v>139976</v>
      </c>
      <c r="H7" s="24">
        <v>144094</v>
      </c>
      <c r="I7" s="24">
        <v>148331</v>
      </c>
      <c r="J7" s="24">
        <v>152700</v>
      </c>
      <c r="K7" s="24">
        <f>+J7</f>
        <v>152700</v>
      </c>
      <c r="L7" s="24">
        <v>157127</v>
      </c>
      <c r="M7" s="24">
        <v>161687</v>
      </c>
      <c r="N7" s="24">
        <v>166375</v>
      </c>
      <c r="O7" s="117" t="s">
        <v>225</v>
      </c>
      <c r="P7" s="162"/>
      <c r="Q7" s="113"/>
    </row>
    <row r="8" spans="1:17" ht="26.25" customHeight="1">
      <c r="A8" s="25" t="s">
        <v>227</v>
      </c>
      <c r="B8" s="23">
        <v>210</v>
      </c>
      <c r="C8" s="4">
        <v>106699</v>
      </c>
      <c r="D8" s="4">
        <v>109366</v>
      </c>
      <c r="E8" s="4">
        <v>112101</v>
      </c>
      <c r="F8" s="4">
        <v>114903</v>
      </c>
      <c r="G8" s="4">
        <v>117775</v>
      </c>
      <c r="H8" s="4">
        <v>120720</v>
      </c>
      <c r="I8" s="4">
        <v>123738</v>
      </c>
      <c r="J8" s="4">
        <v>126832</v>
      </c>
      <c r="K8" s="4">
        <f>+J8</f>
        <v>126832</v>
      </c>
      <c r="L8" s="19">
        <f>+K8</f>
        <v>126832</v>
      </c>
      <c r="M8" s="143">
        <f>+L8*1.08</f>
        <v>136978.56</v>
      </c>
      <c r="N8" s="143">
        <f>+L8*1.08</f>
        <v>136978.56</v>
      </c>
      <c r="O8" s="5" t="s">
        <v>196</v>
      </c>
      <c r="P8" s="162"/>
      <c r="Q8" s="165"/>
    </row>
    <row r="9" spans="1:17" s="16" customFormat="1" ht="22.5">
      <c r="A9" s="25" t="s">
        <v>228</v>
      </c>
      <c r="B9" s="177">
        <v>210</v>
      </c>
      <c r="C9" s="126">
        <v>83095</v>
      </c>
      <c r="D9" s="126">
        <v>87253</v>
      </c>
      <c r="E9" s="126">
        <v>91608</v>
      </c>
      <c r="F9" s="126">
        <v>96188</v>
      </c>
      <c r="G9" s="126">
        <v>100997</v>
      </c>
      <c r="H9" s="143">
        <f>+G9*1.01</f>
        <v>102006.97</v>
      </c>
      <c r="I9" s="126">
        <f>+H9</f>
        <v>102006.97</v>
      </c>
      <c r="J9" s="127">
        <f>+I9*1.01</f>
        <v>103027.03970000001</v>
      </c>
      <c r="K9" s="126">
        <f>+J9</f>
        <v>103027.03970000001</v>
      </c>
      <c r="L9" s="126">
        <f>+K9</f>
        <v>103027.03970000001</v>
      </c>
      <c r="M9" s="127">
        <f>+L9*1.01*1.01</f>
        <v>105097.88319797</v>
      </c>
      <c r="N9" s="140">
        <f>+M9</f>
        <v>105097.88319797</v>
      </c>
      <c r="O9" s="5" t="s">
        <v>81</v>
      </c>
      <c r="P9" s="162"/>
      <c r="Q9" s="113"/>
    </row>
    <row r="10" spans="1:17" ht="22.5">
      <c r="A10" s="25" t="s">
        <v>200</v>
      </c>
      <c r="B10" s="23">
        <v>210</v>
      </c>
      <c r="C10" s="4">
        <v>122914</v>
      </c>
      <c r="D10" s="4">
        <v>125372</v>
      </c>
      <c r="E10" s="4">
        <v>127881</v>
      </c>
      <c r="F10" s="4">
        <v>130438</v>
      </c>
      <c r="G10" s="4">
        <v>133046</v>
      </c>
      <c r="H10" s="4">
        <v>135708</v>
      </c>
      <c r="I10" s="19">
        <f>+H10</f>
        <v>135708</v>
      </c>
      <c r="J10" s="19">
        <f>+I10</f>
        <v>135708</v>
      </c>
      <c r="K10" s="19">
        <f>+J10</f>
        <v>135708</v>
      </c>
      <c r="L10" s="19">
        <f>+K10</f>
        <v>135708</v>
      </c>
      <c r="M10" s="18">
        <f>+L10*1.04</f>
        <v>141136.32</v>
      </c>
      <c r="N10" s="19">
        <f t="shared" si="0"/>
        <v>141136.32</v>
      </c>
      <c r="O10" s="5" t="s">
        <v>82</v>
      </c>
      <c r="P10" s="162"/>
      <c r="Q10" s="162" t="s">
        <v>243</v>
      </c>
    </row>
    <row r="11" spans="1:16" ht="23.25" customHeight="1">
      <c r="A11" s="25" t="s">
        <v>229</v>
      </c>
      <c r="B11" s="23">
        <v>210</v>
      </c>
      <c r="C11" s="4">
        <v>89920</v>
      </c>
      <c r="D11" s="4">
        <v>95209</v>
      </c>
      <c r="E11" s="4">
        <v>100498</v>
      </c>
      <c r="F11" s="4">
        <v>105788</v>
      </c>
      <c r="G11" s="4">
        <f>+F11</f>
        <v>105788</v>
      </c>
      <c r="H11" s="4">
        <f>+F11</f>
        <v>105788</v>
      </c>
      <c r="I11" s="4">
        <f aca="true" t="shared" si="1" ref="I11:L11">+F$11</f>
        <v>105788</v>
      </c>
      <c r="J11" s="4">
        <f t="shared" si="1"/>
        <v>105788</v>
      </c>
      <c r="K11" s="4">
        <f t="shared" si="1"/>
        <v>105788</v>
      </c>
      <c r="L11" s="4">
        <f t="shared" si="1"/>
        <v>105788</v>
      </c>
      <c r="M11" s="143">
        <f>+L11+1000</f>
        <v>106788</v>
      </c>
      <c r="N11" s="143">
        <f>+L11+1000</f>
        <v>106788</v>
      </c>
      <c r="O11" s="5" t="s">
        <v>201</v>
      </c>
      <c r="P11" s="162"/>
    </row>
    <row r="12" spans="1:17" ht="12.75">
      <c r="A12" s="25" t="s">
        <v>230</v>
      </c>
      <c r="B12" s="23">
        <v>206</v>
      </c>
      <c r="C12" s="4">
        <v>107136</v>
      </c>
      <c r="D12" s="4">
        <v>112023</v>
      </c>
      <c r="E12" s="4">
        <v>117137</v>
      </c>
      <c r="F12" s="4">
        <v>122487</v>
      </c>
      <c r="G12" s="4">
        <v>128087</v>
      </c>
      <c r="H12" s="143">
        <f>+G12*1.02</f>
        <v>130648.74</v>
      </c>
      <c r="I12" s="19">
        <f aca="true" t="shared" si="2" ref="I12:N12">+H12</f>
        <v>130648.74</v>
      </c>
      <c r="J12" s="19">
        <f t="shared" si="2"/>
        <v>130648.74</v>
      </c>
      <c r="K12" s="126">
        <f t="shared" si="2"/>
        <v>130648.74</v>
      </c>
      <c r="L12" s="126">
        <f t="shared" si="2"/>
        <v>130648.74</v>
      </c>
      <c r="M12" s="19">
        <f>+L12</f>
        <v>130648.74</v>
      </c>
      <c r="N12" s="19">
        <f t="shared" si="2"/>
        <v>130648.74</v>
      </c>
      <c r="O12" s="5" t="s">
        <v>231</v>
      </c>
      <c r="P12" s="162"/>
      <c r="Q12" s="17"/>
    </row>
    <row r="13" spans="1:17" ht="25.5" customHeight="1" thickBot="1">
      <c r="A13" s="25" t="s">
        <v>203</v>
      </c>
      <c r="B13" s="23">
        <v>208</v>
      </c>
      <c r="C13" s="4">
        <v>93854</v>
      </c>
      <c r="D13" s="4">
        <v>98548</v>
      </c>
      <c r="E13" s="4">
        <v>103474</v>
      </c>
      <c r="F13" s="4">
        <v>108648</v>
      </c>
      <c r="G13" s="4">
        <v>114081</v>
      </c>
      <c r="H13" s="4">
        <v>119786</v>
      </c>
      <c r="I13" s="4">
        <f>+H13</f>
        <v>119786</v>
      </c>
      <c r="J13" s="4">
        <f>+I13</f>
        <v>119786</v>
      </c>
      <c r="K13" s="19">
        <v>123380</v>
      </c>
      <c r="L13" s="19">
        <f>+K13</f>
        <v>123380</v>
      </c>
      <c r="M13" s="105">
        <v>127082</v>
      </c>
      <c r="N13" s="19">
        <f>+M13</f>
        <v>127082</v>
      </c>
      <c r="O13" s="5" t="s">
        <v>204</v>
      </c>
      <c r="P13" s="162"/>
      <c r="Q13" s="124"/>
    </row>
    <row r="14" spans="1:15" ht="14.25" thickTop="1">
      <c r="A14" s="27" t="s">
        <v>0</v>
      </c>
      <c r="B14" s="28">
        <f>SUM(B4:B13)</f>
        <v>2108.5</v>
      </c>
      <c r="C14" s="29">
        <f>SUM(C4:C13)</f>
        <v>1011891.1981794669</v>
      </c>
      <c r="D14" s="29">
        <f aca="true" t="shared" si="3" ref="D14:K14">SUM(D4:D13)</f>
        <v>1054050.586177954</v>
      </c>
      <c r="E14" s="29">
        <f t="shared" si="3"/>
        <v>1097772</v>
      </c>
      <c r="F14" s="29">
        <f t="shared" si="3"/>
        <v>1143085</v>
      </c>
      <c r="G14" s="29">
        <f t="shared" si="3"/>
        <v>1184777</v>
      </c>
      <c r="H14" s="29">
        <f t="shared" si="3"/>
        <v>1218138.71</v>
      </c>
      <c r="I14" s="29">
        <f t="shared" si="3"/>
        <v>1228773.71</v>
      </c>
      <c r="J14" s="29">
        <f t="shared" si="3"/>
        <v>1240635.7797</v>
      </c>
      <c r="K14" s="29">
        <f t="shared" si="3"/>
        <v>1246620.0197</v>
      </c>
      <c r="L14" s="29">
        <f>SUM(L4:L13)</f>
        <v>1251047.0197</v>
      </c>
      <c r="M14" s="29">
        <f>SUM(M4:M13)</f>
        <v>1279155.74319797</v>
      </c>
      <c r="N14" s="30">
        <f>SUM(N4:N13)</f>
        <v>1285044.74319797</v>
      </c>
      <c r="O14" s="31"/>
    </row>
    <row r="15" spans="1:15" ht="22.5" customHeight="1">
      <c r="A15" s="5" t="s">
        <v>165</v>
      </c>
      <c r="B15" s="23">
        <f>B14/10</f>
        <v>210.85</v>
      </c>
      <c r="C15" s="32">
        <f>C14/10</f>
        <v>101189.11981794669</v>
      </c>
      <c r="D15" s="32">
        <f>D14/10</f>
        <v>105405.0586177954</v>
      </c>
      <c r="E15" s="32">
        <f aca="true" t="shared" si="4" ref="E15:K15">E14/10</f>
        <v>109777.2</v>
      </c>
      <c r="F15" s="32">
        <f t="shared" si="4"/>
        <v>114308.5</v>
      </c>
      <c r="G15" s="32">
        <f t="shared" si="4"/>
        <v>118477.7</v>
      </c>
      <c r="H15" s="32">
        <f t="shared" si="4"/>
        <v>121813.871</v>
      </c>
      <c r="I15" s="32">
        <f t="shared" si="4"/>
        <v>122877.371</v>
      </c>
      <c r="J15" s="32">
        <f t="shared" si="4"/>
        <v>124063.57797000001</v>
      </c>
      <c r="K15" s="32">
        <f t="shared" si="4"/>
        <v>124662.00197000001</v>
      </c>
      <c r="L15" s="32">
        <f>L14/10</f>
        <v>125104.70197000001</v>
      </c>
      <c r="M15" s="32">
        <f>M14/10</f>
        <v>127915.57431979702</v>
      </c>
      <c r="N15" s="33">
        <f>N14/10</f>
        <v>128504.47431979701</v>
      </c>
      <c r="O15" s="1"/>
    </row>
    <row r="16" spans="1:15" ht="25.5" customHeight="1">
      <c r="A16" s="34" t="s">
        <v>166</v>
      </c>
      <c r="B16" s="23"/>
      <c r="C16" s="35">
        <f>C15/$B15</f>
        <v>479.9104568079046</v>
      </c>
      <c r="D16" s="35">
        <f aca="true" t="shared" si="5" ref="D16:N16">D15/$B15</f>
        <v>499.9054238453659</v>
      </c>
      <c r="E16" s="35">
        <f t="shared" si="5"/>
        <v>520.6412141332701</v>
      </c>
      <c r="F16" s="35">
        <f t="shared" si="5"/>
        <v>542.1318472847996</v>
      </c>
      <c r="G16" s="35">
        <f t="shared" si="5"/>
        <v>561.9051458382737</v>
      </c>
      <c r="H16" s="35">
        <f t="shared" si="5"/>
        <v>577.7276310173108</v>
      </c>
      <c r="I16" s="35">
        <f t="shared" si="5"/>
        <v>582.7715010671093</v>
      </c>
      <c r="J16" s="35">
        <f t="shared" si="5"/>
        <v>588.3973344557743</v>
      </c>
      <c r="K16" s="35">
        <f t="shared" si="5"/>
        <v>591.2354847996206</v>
      </c>
      <c r="L16" s="35">
        <f t="shared" si="5"/>
        <v>593.3350816694333</v>
      </c>
      <c r="M16" s="35">
        <f t="shared" si="5"/>
        <v>606.6662286924212</v>
      </c>
      <c r="N16" s="35">
        <f t="shared" si="5"/>
        <v>609.4592094844535</v>
      </c>
      <c r="O16" s="1"/>
    </row>
    <row r="17" spans="1:15" ht="25.5" customHeight="1">
      <c r="A17" s="34" t="s">
        <v>33</v>
      </c>
      <c r="B17" s="23">
        <v>240</v>
      </c>
      <c r="C17" s="32">
        <f>C16*$B17</f>
        <v>115178.5096338971</v>
      </c>
      <c r="D17" s="32">
        <f aca="true" t="shared" si="6" ref="D17:L17">D16*$B17</f>
        <v>119977.30172288782</v>
      </c>
      <c r="E17" s="32">
        <f t="shared" si="6"/>
        <v>124953.89139198481</v>
      </c>
      <c r="F17" s="32">
        <f t="shared" si="6"/>
        <v>130111.6433483519</v>
      </c>
      <c r="G17" s="32">
        <f t="shared" si="6"/>
        <v>134857.23500118568</v>
      </c>
      <c r="H17" s="32">
        <f t="shared" si="6"/>
        <v>138654.6314441546</v>
      </c>
      <c r="I17" s="32">
        <f t="shared" si="6"/>
        <v>139865.16025610623</v>
      </c>
      <c r="J17" s="32">
        <f t="shared" si="6"/>
        <v>141215.36026938583</v>
      </c>
      <c r="K17" s="32">
        <f t="shared" si="6"/>
        <v>141896.51635190894</v>
      </c>
      <c r="L17" s="32">
        <f t="shared" si="6"/>
        <v>142400.419600664</v>
      </c>
      <c r="M17" s="50">
        <f>M16*$B17</f>
        <v>145599.89488618108</v>
      </c>
      <c r="N17" s="50">
        <f>N16*$B17</f>
        <v>146270.21027626883</v>
      </c>
      <c r="O17" s="1"/>
    </row>
    <row r="18" spans="1:15" ht="34.5" customHeight="1">
      <c r="A18" s="204"/>
      <c r="B18" s="204"/>
      <c r="C18" s="204"/>
      <c r="D18" s="204"/>
      <c r="E18" s="204"/>
      <c r="F18" s="204"/>
      <c r="G18" s="204"/>
      <c r="H18" s="204"/>
      <c r="I18" s="204"/>
      <c r="J18" s="204"/>
      <c r="K18" s="204"/>
      <c r="L18" s="204"/>
      <c r="M18" s="204"/>
      <c r="N18" s="204"/>
      <c r="O18" s="204"/>
    </row>
    <row r="19" spans="1:15" ht="27" customHeight="1">
      <c r="A19" s="193" t="s">
        <v>34</v>
      </c>
      <c r="B19" s="194"/>
      <c r="C19" s="194"/>
      <c r="D19" s="194"/>
      <c r="E19" s="194"/>
      <c r="F19" s="194"/>
      <c r="G19" s="194"/>
      <c r="H19" s="194"/>
      <c r="I19" s="194"/>
      <c r="J19" s="194"/>
      <c r="K19" s="194"/>
      <c r="L19" s="194"/>
      <c r="M19" s="194"/>
      <c r="N19" s="194"/>
      <c r="O19" s="194"/>
    </row>
    <row r="20" spans="1:15" ht="35.1" customHeight="1">
      <c r="A20" s="193" t="s">
        <v>35</v>
      </c>
      <c r="B20" s="193"/>
      <c r="C20" s="193"/>
      <c r="D20" s="193"/>
      <c r="E20" s="193"/>
      <c r="F20" s="193"/>
      <c r="G20" s="193"/>
      <c r="H20" s="193"/>
      <c r="I20" s="193"/>
      <c r="J20" s="193"/>
      <c r="K20" s="193"/>
      <c r="L20" s="193"/>
      <c r="M20" s="193"/>
      <c r="N20" s="193"/>
      <c r="O20" s="193"/>
    </row>
    <row r="21" spans="1:15" ht="12.75">
      <c r="A21" s="207" t="s">
        <v>30</v>
      </c>
      <c r="B21" s="208"/>
      <c r="C21" s="208"/>
      <c r="D21" s="208"/>
      <c r="E21" s="208"/>
      <c r="F21" s="207"/>
      <c r="G21" s="208"/>
      <c r="H21" s="208"/>
      <c r="I21" s="208"/>
      <c r="J21" s="208"/>
      <c r="K21" s="207"/>
      <c r="L21" s="208"/>
      <c r="M21" s="208"/>
      <c r="N21" s="208"/>
      <c r="O21" s="208"/>
    </row>
    <row r="24" spans="1:2" ht="12.75">
      <c r="A24" s="11" t="s">
        <v>18</v>
      </c>
      <c r="B24" s="11" t="s">
        <v>13</v>
      </c>
    </row>
    <row r="25" spans="1:2" ht="12.75">
      <c r="A25" s="1" t="s">
        <v>14</v>
      </c>
      <c r="B25" s="13">
        <v>1207</v>
      </c>
    </row>
    <row r="26" spans="1:2" ht="12.75">
      <c r="A26" s="1" t="s">
        <v>15</v>
      </c>
      <c r="B26" s="13">
        <v>1611</v>
      </c>
    </row>
    <row r="27" spans="1:2" ht="12.75">
      <c r="A27" s="1" t="s">
        <v>16</v>
      </c>
      <c r="B27" s="13">
        <v>1450</v>
      </c>
    </row>
    <row r="28" spans="1:2" ht="12.75">
      <c r="A28" s="1" t="s">
        <v>17</v>
      </c>
      <c r="B28" s="13">
        <v>0</v>
      </c>
    </row>
    <row r="29" spans="1:2" ht="12.75">
      <c r="A29" s="1" t="s">
        <v>19</v>
      </c>
      <c r="B29" s="13">
        <v>1000</v>
      </c>
    </row>
    <row r="30" spans="1:2" ht="12.75">
      <c r="A30" s="1" t="s">
        <v>20</v>
      </c>
      <c r="B30" s="13">
        <v>1000</v>
      </c>
    </row>
    <row r="31" spans="1:2" ht="12.75">
      <c r="A31" s="1" t="s">
        <v>21</v>
      </c>
      <c r="B31" s="13">
        <v>1300</v>
      </c>
    </row>
    <row r="32" spans="1:2" ht="12.75">
      <c r="A32" s="1" t="s">
        <v>22</v>
      </c>
      <c r="B32" s="13">
        <v>0</v>
      </c>
    </row>
    <row r="33" spans="1:2" ht="12.75">
      <c r="A33" s="1" t="s">
        <v>23</v>
      </c>
      <c r="B33" s="13">
        <v>1951</v>
      </c>
    </row>
    <row r="34" spans="1:2" ht="12.75">
      <c r="A34" s="1" t="s">
        <v>24</v>
      </c>
      <c r="B34" s="13">
        <v>2604</v>
      </c>
    </row>
    <row r="35" spans="1:2" ht="12.75">
      <c r="A35" s="1" t="s">
        <v>25</v>
      </c>
      <c r="B35" s="13">
        <f>SUM(B25:B34)/10</f>
        <v>1212.3</v>
      </c>
    </row>
    <row r="36" spans="1:2" ht="25.5">
      <c r="A36" s="12" t="s">
        <v>26</v>
      </c>
      <c r="B36" s="13">
        <f>SUM(B35)/24</f>
        <v>50.512499999999996</v>
      </c>
    </row>
  </sheetData>
  <mergeCells count="9">
    <mergeCell ref="A1:O1"/>
    <mergeCell ref="A18:O18"/>
    <mergeCell ref="A2:M2"/>
    <mergeCell ref="N2:Q2"/>
    <mergeCell ref="A21:E21"/>
    <mergeCell ref="F21:J21"/>
    <mergeCell ref="K21:O21"/>
    <mergeCell ref="A19:O19"/>
    <mergeCell ref="A20:O20"/>
  </mergeCells>
  <printOptions/>
  <pageMargins left="0.25" right="0.25" top="0.78" bottom="1.08" header="0.25" footer="0.25"/>
  <pageSetup fitToHeight="1" fitToWidth="1" horizontalDpi="600" verticalDpi="600" orientation="landscape" scale="88" r:id="rId1"/>
  <headerFooter alignWithMargins="0">
    <oddFooter>&amp;L&amp;Z&amp;F</oddFooter>
  </headerFooter>
  <rowBreaks count="2" manualBreakCount="2">
    <brk id="21" max="16383" man="1"/>
    <brk id="2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6"/>
  <sheetViews>
    <sheetView workbookViewId="0" topLeftCell="A1">
      <selection activeCell="A1" sqref="A1:O1"/>
    </sheetView>
  </sheetViews>
  <sheetFormatPr defaultColWidth="9.140625" defaultRowHeight="12.75"/>
  <cols>
    <col min="1" max="1" width="18.00390625" style="0" customWidth="1"/>
    <col min="2" max="2" width="8.421875" style="0" customWidth="1"/>
    <col min="3" max="3" width="7.7109375" style="0" customWidth="1"/>
    <col min="4" max="4" width="9.00390625" style="0" customWidth="1"/>
    <col min="5" max="5" width="7.8515625" style="0" customWidth="1"/>
    <col min="6" max="7" width="8.7109375" style="0" customWidth="1"/>
    <col min="8" max="8" width="9.140625" style="0" bestFit="1" customWidth="1"/>
    <col min="9" max="9" width="10.421875" style="0" bestFit="1" customWidth="1"/>
    <col min="10" max="10" width="8.8515625" style="0" customWidth="1"/>
    <col min="11" max="11" width="9.7109375" style="0" customWidth="1"/>
    <col min="12" max="12" width="10.57421875" style="0" bestFit="1" customWidth="1"/>
    <col min="13" max="14" width="9.140625" style="0" bestFit="1" customWidth="1"/>
    <col min="15" max="15" width="28.28125" style="0" customWidth="1"/>
    <col min="16" max="16" width="2.7109375" style="0" customWidth="1"/>
  </cols>
  <sheetData>
    <row r="1" spans="1:15" ht="12.75" customHeight="1">
      <c r="A1" s="195" t="s">
        <v>221</v>
      </c>
      <c r="B1" s="195"/>
      <c r="C1" s="195"/>
      <c r="D1" s="195"/>
      <c r="E1" s="195"/>
      <c r="F1" s="195"/>
      <c r="G1" s="195"/>
      <c r="H1" s="195"/>
      <c r="I1" s="195"/>
      <c r="J1" s="196"/>
      <c r="K1" s="196"/>
      <c r="L1" s="196"/>
      <c r="M1" s="196"/>
      <c r="N1" s="196"/>
      <c r="O1" s="196"/>
    </row>
    <row r="2" spans="1:15" ht="12.75">
      <c r="A2" s="200" t="s">
        <v>222</v>
      </c>
      <c r="B2" s="201"/>
      <c r="C2" s="201"/>
      <c r="D2" s="201"/>
      <c r="E2" s="201"/>
      <c r="F2" s="201"/>
      <c r="G2" s="201"/>
      <c r="H2" s="201"/>
      <c r="I2" s="201"/>
      <c r="J2" s="201"/>
      <c r="K2" s="201"/>
      <c r="L2" s="201"/>
      <c r="M2" s="201"/>
      <c r="N2" s="201"/>
      <c r="O2" s="201"/>
    </row>
    <row r="3" spans="1:15" ht="18" customHeight="1">
      <c r="A3" s="210" t="s">
        <v>140</v>
      </c>
      <c r="B3" s="210"/>
      <c r="C3" s="210"/>
      <c r="D3" s="210"/>
      <c r="E3" s="210"/>
      <c r="F3" s="210"/>
      <c r="G3" s="210"/>
      <c r="H3" s="210"/>
      <c r="I3" s="210"/>
      <c r="J3" s="211"/>
      <c r="K3" s="211"/>
      <c r="L3" s="211"/>
      <c r="M3" s="211"/>
      <c r="N3" s="211"/>
      <c r="O3" s="211"/>
    </row>
    <row r="4" spans="11:15" ht="9.75" customHeight="1">
      <c r="K4" s="198" t="s">
        <v>244</v>
      </c>
      <c r="L4" s="209"/>
      <c r="M4" s="209"/>
      <c r="N4" s="209"/>
      <c r="O4" s="209"/>
    </row>
    <row r="5" spans="1:15" ht="12.75">
      <c r="A5" s="1" t="s">
        <v>10</v>
      </c>
      <c r="B5" s="2" t="s">
        <v>9</v>
      </c>
      <c r="C5" s="97" t="s">
        <v>8</v>
      </c>
      <c r="D5" s="97" t="s">
        <v>7</v>
      </c>
      <c r="E5" s="97" t="s">
        <v>6</v>
      </c>
      <c r="F5" s="97" t="s">
        <v>5</v>
      </c>
      <c r="G5" s="97" t="s">
        <v>4</v>
      </c>
      <c r="H5" s="97" t="s">
        <v>3</v>
      </c>
      <c r="I5" s="97" t="s">
        <v>2</v>
      </c>
      <c r="J5" s="97" t="s">
        <v>1</v>
      </c>
      <c r="K5" s="97" t="s">
        <v>28</v>
      </c>
      <c r="L5" s="98" t="s">
        <v>32</v>
      </c>
      <c r="M5" s="3" t="s">
        <v>192</v>
      </c>
      <c r="N5" s="3" t="s">
        <v>212</v>
      </c>
      <c r="O5" s="2" t="s">
        <v>215</v>
      </c>
    </row>
    <row r="6" spans="1:17" ht="12.75">
      <c r="A6" s="25" t="s">
        <v>194</v>
      </c>
      <c r="B6" s="4">
        <v>212</v>
      </c>
      <c r="C6" s="4">
        <v>103856</v>
      </c>
      <c r="D6" s="4">
        <v>107122</v>
      </c>
      <c r="E6" s="4">
        <v>110389</v>
      </c>
      <c r="F6" s="4">
        <v>113654</v>
      </c>
      <c r="G6" s="4">
        <v>116921</v>
      </c>
      <c r="H6" s="4">
        <v>120187</v>
      </c>
      <c r="I6" s="4">
        <v>123452</v>
      </c>
      <c r="J6" s="4">
        <v>126718</v>
      </c>
      <c r="K6" s="4">
        <f>+J6</f>
        <v>126718</v>
      </c>
      <c r="L6" s="4">
        <f>+K6</f>
        <v>126718</v>
      </c>
      <c r="M6" s="4">
        <f>+J6</f>
        <v>126718</v>
      </c>
      <c r="N6" s="4">
        <f>+K6</f>
        <v>126718</v>
      </c>
      <c r="O6" s="190" t="s">
        <v>241</v>
      </c>
      <c r="P6" s="162"/>
      <c r="Q6" s="162"/>
    </row>
    <row r="7" spans="1:17" ht="12.75">
      <c r="A7" s="125" t="s">
        <v>214</v>
      </c>
      <c r="B7" s="4">
        <v>205</v>
      </c>
      <c r="C7" s="4">
        <v>88660</v>
      </c>
      <c r="D7" s="4">
        <v>92800</v>
      </c>
      <c r="E7" s="4">
        <v>97148</v>
      </c>
      <c r="F7" s="4">
        <v>101714</v>
      </c>
      <c r="G7" s="4">
        <v>106507</v>
      </c>
      <c r="H7" s="4">
        <v>111541</v>
      </c>
      <c r="I7" s="4">
        <v>113852</v>
      </c>
      <c r="J7" s="4">
        <f>+I7</f>
        <v>113852</v>
      </c>
      <c r="K7" s="4">
        <f>+J7</f>
        <v>113852</v>
      </c>
      <c r="L7" s="4">
        <v>115008</v>
      </c>
      <c r="M7" s="4">
        <f>+K7</f>
        <v>113852</v>
      </c>
      <c r="N7" s="4">
        <f>+L7</f>
        <v>115008</v>
      </c>
      <c r="O7" s="114" t="s">
        <v>213</v>
      </c>
      <c r="P7" s="162"/>
      <c r="Q7" s="17"/>
    </row>
    <row r="8" spans="1:17" s="16" customFormat="1" ht="22.5">
      <c r="A8" s="25" t="s">
        <v>195</v>
      </c>
      <c r="B8" s="126">
        <v>197</v>
      </c>
      <c r="C8" s="126">
        <v>86373</v>
      </c>
      <c r="D8" s="126">
        <v>90691</v>
      </c>
      <c r="E8" s="126">
        <v>95226</v>
      </c>
      <c r="F8" s="126">
        <v>100047</v>
      </c>
      <c r="G8" s="126">
        <v>105112</v>
      </c>
      <c r="H8" s="126">
        <v>110433</v>
      </c>
      <c r="I8" s="126">
        <f>+H8</f>
        <v>110433</v>
      </c>
      <c r="J8" s="126">
        <f>+I8</f>
        <v>110433</v>
      </c>
      <c r="K8" s="126">
        <f>+J8</f>
        <v>110433</v>
      </c>
      <c r="L8" s="126">
        <f>+K8</f>
        <v>110433</v>
      </c>
      <c r="M8" s="127">
        <f>+J8*1.01</f>
        <v>111537.33</v>
      </c>
      <c r="N8" s="4">
        <f>+M8</f>
        <v>111537.33</v>
      </c>
      <c r="O8" s="5" t="s">
        <v>223</v>
      </c>
      <c r="P8" s="162"/>
      <c r="Q8" s="120"/>
    </row>
    <row r="9" spans="1:17" ht="18.75">
      <c r="A9" s="125" t="s">
        <v>224</v>
      </c>
      <c r="B9" s="24">
        <v>213</v>
      </c>
      <c r="C9" s="116">
        <f>D9/(E9/D9)</f>
        <v>109926.79598812824</v>
      </c>
      <c r="D9" s="116">
        <f>E9/(F9/E9)</f>
        <v>115303.88724578275</v>
      </c>
      <c r="E9" s="24">
        <v>120944</v>
      </c>
      <c r="F9" s="24">
        <v>126860</v>
      </c>
      <c r="G9" s="24">
        <v>133074</v>
      </c>
      <c r="H9" s="24">
        <v>136991</v>
      </c>
      <c r="I9" s="24">
        <v>141021</v>
      </c>
      <c r="J9" s="24">
        <v>145171</v>
      </c>
      <c r="K9" s="24">
        <f>+J9</f>
        <v>145171</v>
      </c>
      <c r="L9" s="24">
        <v>149381</v>
      </c>
      <c r="M9" s="24">
        <f>+L9</f>
        <v>149381</v>
      </c>
      <c r="N9" s="24">
        <f>+M9</f>
        <v>149381</v>
      </c>
      <c r="O9" s="117" t="s">
        <v>226</v>
      </c>
      <c r="P9" s="163"/>
      <c r="Q9" s="17"/>
    </row>
    <row r="10" spans="1:17" ht="22.5">
      <c r="A10" s="25" t="s">
        <v>227</v>
      </c>
      <c r="B10" s="4">
        <v>200</v>
      </c>
      <c r="C10" s="4">
        <v>97317</v>
      </c>
      <c r="D10" s="4">
        <v>99749</v>
      </c>
      <c r="E10" s="4">
        <v>102244</v>
      </c>
      <c r="F10" s="4">
        <v>104800</v>
      </c>
      <c r="G10" s="4">
        <v>107419</v>
      </c>
      <c r="H10" s="4">
        <v>110105</v>
      </c>
      <c r="I10" s="4">
        <v>112858</v>
      </c>
      <c r="J10" s="4">
        <v>115679</v>
      </c>
      <c r="K10" s="4">
        <f>+J10</f>
        <v>115679</v>
      </c>
      <c r="L10" s="4">
        <f>+K10</f>
        <v>115679</v>
      </c>
      <c r="M10" s="18">
        <f>+J10*1.04</f>
        <v>120306.16</v>
      </c>
      <c r="N10" s="18">
        <f>+J10*1.04</f>
        <v>120306.16</v>
      </c>
      <c r="O10" s="5" t="s">
        <v>198</v>
      </c>
      <c r="P10" s="163"/>
      <c r="Q10" s="165"/>
    </row>
    <row r="11" spans="1:17" s="16" customFormat="1" ht="22.5">
      <c r="A11" s="25" t="s">
        <v>199</v>
      </c>
      <c r="B11" s="126">
        <v>203</v>
      </c>
      <c r="C11" s="126">
        <v>78133</v>
      </c>
      <c r="D11" s="126">
        <v>82042</v>
      </c>
      <c r="E11" s="126">
        <v>86143</v>
      </c>
      <c r="F11" s="126">
        <v>90451</v>
      </c>
      <c r="G11" s="18">
        <f>94974*1.01</f>
        <v>95923.74</v>
      </c>
      <c r="H11" s="126">
        <f>+G11</f>
        <v>95923.74</v>
      </c>
      <c r="I11" s="126">
        <f>+H11</f>
        <v>95923.74</v>
      </c>
      <c r="J11" s="127">
        <f>+I11*1.01</f>
        <v>96882.9774</v>
      </c>
      <c r="K11" s="126">
        <f>+J11</f>
        <v>96882.9774</v>
      </c>
      <c r="L11" s="126">
        <f>+K11</f>
        <v>96882.9774</v>
      </c>
      <c r="M11" s="126">
        <f>+J11</f>
        <v>96882.9774</v>
      </c>
      <c r="N11" s="126">
        <f>+K11</f>
        <v>96882.9774</v>
      </c>
      <c r="O11" s="5" t="s">
        <v>81</v>
      </c>
      <c r="P11" s="163"/>
      <c r="Q11" s="124"/>
    </row>
    <row r="12" spans="1:17" ht="33.75">
      <c r="A12" s="25" t="s">
        <v>200</v>
      </c>
      <c r="B12" s="4">
        <v>207</v>
      </c>
      <c r="C12" s="4">
        <v>117438</v>
      </c>
      <c r="D12" s="4">
        <v>119788</v>
      </c>
      <c r="E12" s="4">
        <v>122182</v>
      </c>
      <c r="F12" s="4">
        <v>124625</v>
      </c>
      <c r="G12" s="4">
        <v>127120</v>
      </c>
      <c r="H12" s="4">
        <v>129661</v>
      </c>
      <c r="I12" s="4">
        <f>+H12</f>
        <v>129661</v>
      </c>
      <c r="J12" s="4">
        <f>+I12</f>
        <v>129661</v>
      </c>
      <c r="K12" s="4">
        <f>+H12</f>
        <v>129661</v>
      </c>
      <c r="L12" s="4">
        <f>+I12</f>
        <v>129661</v>
      </c>
      <c r="M12" s="18">
        <f>+I12*1.03</f>
        <v>133550.83000000002</v>
      </c>
      <c r="N12" s="18">
        <f>+J12*1.03</f>
        <v>133550.83000000002</v>
      </c>
      <c r="O12" s="5" t="s">
        <v>37</v>
      </c>
      <c r="P12" s="162"/>
      <c r="Q12" s="162" t="s">
        <v>243</v>
      </c>
    </row>
    <row r="13" spans="1:16" ht="12.75">
      <c r="A13" s="25" t="s">
        <v>229</v>
      </c>
      <c r="B13" s="4">
        <v>205</v>
      </c>
      <c r="C13" s="4">
        <v>86006</v>
      </c>
      <c r="D13" s="4">
        <v>91065</v>
      </c>
      <c r="E13" s="4">
        <v>96124</v>
      </c>
      <c r="F13" s="4">
        <v>101183</v>
      </c>
      <c r="G13" s="4">
        <f aca="true" t="shared" si="0" ref="G13:L13">+F$13</f>
        <v>101183</v>
      </c>
      <c r="H13" s="4">
        <f t="shared" si="0"/>
        <v>101183</v>
      </c>
      <c r="I13" s="4">
        <f t="shared" si="0"/>
        <v>101183</v>
      </c>
      <c r="J13" s="4">
        <f t="shared" si="0"/>
        <v>101183</v>
      </c>
      <c r="K13" s="4">
        <f t="shared" si="0"/>
        <v>101183</v>
      </c>
      <c r="L13" s="4">
        <f t="shared" si="0"/>
        <v>101183</v>
      </c>
      <c r="M13" s="4">
        <f aca="true" t="shared" si="1" ref="M13:N14">+I13</f>
        <v>101183</v>
      </c>
      <c r="N13" s="143">
        <f>+J13+750</f>
        <v>101933</v>
      </c>
      <c r="O13" s="5" t="s">
        <v>201</v>
      </c>
      <c r="P13" s="162"/>
    </row>
    <row r="14" spans="1:17" ht="12.75">
      <c r="A14" s="25" t="s">
        <v>230</v>
      </c>
      <c r="B14" s="4">
        <v>203</v>
      </c>
      <c r="C14" s="4">
        <v>104134</v>
      </c>
      <c r="D14" s="4">
        <v>108873</v>
      </c>
      <c r="E14" s="4">
        <v>113830</v>
      </c>
      <c r="F14" s="4">
        <v>119016</v>
      </c>
      <c r="G14" s="4">
        <v>124440</v>
      </c>
      <c r="H14" s="18">
        <f>+G14*1.02</f>
        <v>126928.8</v>
      </c>
      <c r="I14" s="4">
        <f>+H14</f>
        <v>126928.8</v>
      </c>
      <c r="J14" s="4">
        <f>+I14</f>
        <v>126928.8</v>
      </c>
      <c r="K14" s="4">
        <f>+J14</f>
        <v>126928.8</v>
      </c>
      <c r="L14" s="4">
        <f>+K14</f>
        <v>126928.8</v>
      </c>
      <c r="M14" s="4">
        <f t="shared" si="1"/>
        <v>126928.8</v>
      </c>
      <c r="N14" s="4">
        <f t="shared" si="1"/>
        <v>126928.8</v>
      </c>
      <c r="O14" s="5" t="s">
        <v>231</v>
      </c>
      <c r="P14" s="162"/>
      <c r="Q14" s="17"/>
    </row>
    <row r="15" spans="1:17" ht="22.5">
      <c r="A15" s="25" t="s">
        <v>203</v>
      </c>
      <c r="B15" s="4">
        <v>203</v>
      </c>
      <c r="C15" s="19">
        <v>89095</v>
      </c>
      <c r="D15" s="19">
        <v>93549</v>
      </c>
      <c r="E15" s="19">
        <v>98227</v>
      </c>
      <c r="F15" s="19">
        <v>103138</v>
      </c>
      <c r="G15" s="19">
        <v>108295</v>
      </c>
      <c r="H15" s="19">
        <v>113710</v>
      </c>
      <c r="I15" s="19">
        <f>+H15</f>
        <v>113710</v>
      </c>
      <c r="J15" s="19">
        <f>+I15</f>
        <v>113710</v>
      </c>
      <c r="K15" s="19">
        <v>117120</v>
      </c>
      <c r="L15" s="19">
        <f>+K15</f>
        <v>117120</v>
      </c>
      <c r="M15" s="19">
        <f>+L15</f>
        <v>117120</v>
      </c>
      <c r="N15" s="19">
        <f>+K15</f>
        <v>117120</v>
      </c>
      <c r="O15" s="5" t="s">
        <v>205</v>
      </c>
      <c r="P15" s="162"/>
      <c r="Q15" s="124"/>
    </row>
    <row r="16" spans="1:15" ht="12.75">
      <c r="A16" s="25" t="s">
        <v>0</v>
      </c>
      <c r="B16" s="1">
        <f>SUM(B6:B15)</f>
        <v>2048</v>
      </c>
      <c r="C16" s="4">
        <f>SUM(C6:C15)</f>
        <v>960938.7959881283</v>
      </c>
      <c r="D16" s="4">
        <f aca="true" t="shared" si="2" ref="D16:N16">SUM(D6:D15)</f>
        <v>1000982.8872457828</v>
      </c>
      <c r="E16" s="176">
        <f t="shared" si="2"/>
        <v>1042457</v>
      </c>
      <c r="F16" s="145">
        <f t="shared" si="2"/>
        <v>1085488</v>
      </c>
      <c r="G16" s="145">
        <f t="shared" si="2"/>
        <v>1125994.74</v>
      </c>
      <c r="H16" s="4">
        <f t="shared" si="2"/>
        <v>1156663.54</v>
      </c>
      <c r="I16" s="4">
        <f t="shared" si="2"/>
        <v>1169022.54</v>
      </c>
      <c r="J16" s="4">
        <f t="shared" si="2"/>
        <v>1180218.7774</v>
      </c>
      <c r="K16" s="4">
        <f t="shared" si="2"/>
        <v>1183628.7774</v>
      </c>
      <c r="L16" s="4">
        <f t="shared" si="2"/>
        <v>1188994.7774</v>
      </c>
      <c r="M16" s="4">
        <f t="shared" si="2"/>
        <v>1197460.0974</v>
      </c>
      <c r="N16" s="4">
        <f t="shared" si="2"/>
        <v>1199366.0974</v>
      </c>
      <c r="O16" s="1"/>
    </row>
    <row r="17" spans="1:15" ht="22.5">
      <c r="A17" s="5" t="s">
        <v>168</v>
      </c>
      <c r="B17" s="38">
        <f>B16/10</f>
        <v>204.8</v>
      </c>
      <c r="C17" s="4">
        <f aca="true" t="shared" si="3" ref="C17:K17">C16/10</f>
        <v>96093.87959881283</v>
      </c>
      <c r="D17" s="4">
        <f t="shared" si="3"/>
        <v>100098.28872457828</v>
      </c>
      <c r="E17" s="4">
        <f t="shared" si="3"/>
        <v>104245.7</v>
      </c>
      <c r="F17" s="4">
        <f t="shared" si="3"/>
        <v>108548.8</v>
      </c>
      <c r="G17" s="4">
        <f t="shared" si="3"/>
        <v>112599.474</v>
      </c>
      <c r="H17" s="4">
        <f t="shared" si="3"/>
        <v>115666.354</v>
      </c>
      <c r="I17" s="4">
        <f t="shared" si="3"/>
        <v>116902.254</v>
      </c>
      <c r="J17" s="4">
        <f t="shared" si="3"/>
        <v>118021.87774</v>
      </c>
      <c r="K17" s="4">
        <f t="shared" si="3"/>
        <v>118362.87774</v>
      </c>
      <c r="L17" s="4">
        <f>L16/10</f>
        <v>118899.47774</v>
      </c>
      <c r="M17" s="4">
        <f>M16/10</f>
        <v>119746.00974000001</v>
      </c>
      <c r="N17" s="4">
        <f>N16/10</f>
        <v>119936.60974000001</v>
      </c>
      <c r="O17" s="1"/>
    </row>
    <row r="18" spans="1:15" ht="24.75" customHeight="1">
      <c r="A18" s="5" t="s">
        <v>167</v>
      </c>
      <c r="B18" s="1"/>
      <c r="C18" s="8">
        <f>C17/$B17</f>
        <v>469.2083964785782</v>
      </c>
      <c r="D18" s="8">
        <f aca="true" t="shared" si="4" ref="D18:N18">D17/$B17</f>
        <v>488.76117541297987</v>
      </c>
      <c r="E18" s="8">
        <f t="shared" si="4"/>
        <v>509.01220703124994</v>
      </c>
      <c r="F18" s="8">
        <f t="shared" si="4"/>
        <v>530.0234375</v>
      </c>
      <c r="G18" s="8">
        <f t="shared" si="4"/>
        <v>549.802119140625</v>
      </c>
      <c r="H18" s="8">
        <f t="shared" si="4"/>
        <v>564.777119140625</v>
      </c>
      <c r="I18" s="8">
        <f t="shared" si="4"/>
        <v>570.811787109375</v>
      </c>
      <c r="J18" s="8">
        <f t="shared" si="4"/>
        <v>576.2786999023436</v>
      </c>
      <c r="K18" s="8">
        <f t="shared" si="4"/>
        <v>577.9437389648436</v>
      </c>
      <c r="L18" s="8">
        <f t="shared" si="4"/>
        <v>580.5638561523438</v>
      </c>
      <c r="M18" s="8">
        <f t="shared" si="4"/>
        <v>584.6973131835938</v>
      </c>
      <c r="N18" s="8">
        <f t="shared" si="4"/>
        <v>585.6279772460938</v>
      </c>
      <c r="O18" s="1"/>
    </row>
    <row r="19" spans="1:15" ht="39" customHeight="1">
      <c r="A19" s="5" t="s">
        <v>39</v>
      </c>
      <c r="B19" s="1">
        <v>220</v>
      </c>
      <c r="C19" s="4">
        <f>C18*$B19</f>
        <v>103225.8472252872</v>
      </c>
      <c r="D19" s="4">
        <f aca="true" t="shared" si="5" ref="D19:N19">D18*$B19</f>
        <v>107527.45859085557</v>
      </c>
      <c r="E19" s="4">
        <f t="shared" si="5"/>
        <v>111982.68554687499</v>
      </c>
      <c r="F19" s="4">
        <f t="shared" si="5"/>
        <v>116605.15625</v>
      </c>
      <c r="G19" s="4">
        <f t="shared" si="5"/>
        <v>120956.4662109375</v>
      </c>
      <c r="H19" s="4">
        <f t="shared" si="5"/>
        <v>124250.9662109375</v>
      </c>
      <c r="I19" s="4">
        <f t="shared" si="5"/>
        <v>125578.5931640625</v>
      </c>
      <c r="J19" s="4">
        <f t="shared" si="5"/>
        <v>126781.31397851561</v>
      </c>
      <c r="K19" s="4">
        <f t="shared" si="5"/>
        <v>127147.62257226561</v>
      </c>
      <c r="L19" s="4">
        <f t="shared" si="5"/>
        <v>127724.04835351562</v>
      </c>
      <c r="M19" s="15">
        <f t="shared" si="5"/>
        <v>128633.40890039064</v>
      </c>
      <c r="N19" s="15">
        <f t="shared" si="5"/>
        <v>128838.15499414064</v>
      </c>
      <c r="O19" s="1"/>
    </row>
    <row r="20" ht="9.75" customHeight="1"/>
    <row r="21" ht="7.5" customHeight="1"/>
    <row r="22" spans="1:15" ht="14.25" customHeight="1">
      <c r="A22" s="207" t="s">
        <v>30</v>
      </c>
      <c r="B22" s="208"/>
      <c r="C22" s="208"/>
      <c r="D22" s="208"/>
      <c r="E22" s="208"/>
      <c r="F22" s="20"/>
      <c r="G22" s="20"/>
      <c r="H22" s="20"/>
      <c r="I22" s="20"/>
      <c r="J22" s="20"/>
      <c r="K22" s="20"/>
      <c r="L22" s="20"/>
      <c r="M22" s="20"/>
      <c r="N22" s="20"/>
      <c r="O22" s="20"/>
    </row>
    <row r="23" ht="8.25" customHeight="1"/>
    <row r="24" spans="1:8" ht="12.75">
      <c r="A24" s="11" t="s">
        <v>18</v>
      </c>
      <c r="B24" s="11" t="s">
        <v>13</v>
      </c>
      <c r="D24" s="207"/>
      <c r="E24" s="208"/>
      <c r="F24" s="208"/>
      <c r="G24" s="208"/>
      <c r="H24" s="208"/>
    </row>
    <row r="25" spans="1:2" ht="12.75">
      <c r="A25" s="1" t="s">
        <v>14</v>
      </c>
      <c r="B25" s="13">
        <v>1207</v>
      </c>
    </row>
    <row r="26" spans="1:2" ht="12.75">
      <c r="A26" s="1" t="s">
        <v>15</v>
      </c>
      <c r="B26" s="13">
        <v>1611</v>
      </c>
    </row>
    <row r="27" spans="1:2" ht="12.75">
      <c r="A27" s="1" t="s">
        <v>16</v>
      </c>
      <c r="B27" s="13">
        <v>1450</v>
      </c>
    </row>
    <row r="28" spans="1:2" ht="12.75">
      <c r="A28" s="1" t="s">
        <v>17</v>
      </c>
      <c r="B28" s="13">
        <v>0</v>
      </c>
    </row>
    <row r="29" spans="1:2" ht="12.75">
      <c r="A29" s="1" t="s">
        <v>19</v>
      </c>
      <c r="B29" s="13">
        <v>1000</v>
      </c>
    </row>
    <row r="30" spans="1:2" ht="12.75">
      <c r="A30" s="1" t="s">
        <v>20</v>
      </c>
      <c r="B30" s="13">
        <v>1000</v>
      </c>
    </row>
    <row r="31" spans="1:2" ht="12.75">
      <c r="A31" s="1" t="s">
        <v>21</v>
      </c>
      <c r="B31" s="13">
        <v>1300</v>
      </c>
    </row>
    <row r="32" spans="1:2" ht="12.75">
      <c r="A32" s="1" t="s">
        <v>22</v>
      </c>
      <c r="B32" s="13">
        <v>0</v>
      </c>
    </row>
    <row r="33" spans="1:2" ht="12.75">
      <c r="A33" s="1" t="s">
        <v>23</v>
      </c>
      <c r="B33" s="13">
        <v>1951</v>
      </c>
    </row>
    <row r="34" spans="1:2" ht="12.75">
      <c r="A34" s="1" t="s">
        <v>24</v>
      </c>
      <c r="B34" s="13">
        <v>2604</v>
      </c>
    </row>
    <row r="35" spans="1:2" ht="12.75">
      <c r="A35" s="1" t="s">
        <v>25</v>
      </c>
      <c r="B35" s="13">
        <f>SUM(B25:B34)/10</f>
        <v>1212.3</v>
      </c>
    </row>
    <row r="36" spans="1:2" ht="25.5">
      <c r="A36" s="12" t="s">
        <v>26</v>
      </c>
      <c r="B36" s="13">
        <f>SUM(B35)/24</f>
        <v>50.512499999999996</v>
      </c>
    </row>
  </sheetData>
  <mergeCells count="6">
    <mergeCell ref="A1:O1"/>
    <mergeCell ref="A2:O2"/>
    <mergeCell ref="K4:O4"/>
    <mergeCell ref="D24:H24"/>
    <mergeCell ref="A3:O3"/>
    <mergeCell ref="A22:E22"/>
  </mergeCells>
  <printOptions/>
  <pageMargins left="0.25" right="0.25" top="0.75" bottom="1" header="0.5" footer="0.5"/>
  <pageSetup fitToHeight="2" fitToWidth="2" horizontalDpi="600" verticalDpi="600" orientation="landscape" scale="83" r:id="rId3"/>
  <headerFooter alignWithMargins="0">
    <oddFooter>&amp;L&amp;Z&amp;F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
  <sheetViews>
    <sheetView tabSelected="1" workbookViewId="0" topLeftCell="A1">
      <selection activeCell="A4" sqref="A4"/>
    </sheetView>
  </sheetViews>
  <sheetFormatPr defaultColWidth="9.140625" defaultRowHeight="12.75"/>
  <cols>
    <col min="1" max="1" width="21.57421875" style="0" customWidth="1"/>
    <col min="2" max="14" width="9.7109375" style="0" customWidth="1"/>
    <col min="15" max="15" width="8.7109375" style="0" bestFit="1" customWidth="1"/>
    <col min="16" max="16" width="9.7109375" style="0" customWidth="1"/>
    <col min="24" max="24" width="8.140625" style="0" customWidth="1"/>
  </cols>
  <sheetData>
    <row r="1" spans="1:25" ht="18">
      <c r="A1" s="65" t="s">
        <v>60</v>
      </c>
      <c r="B1" s="65"/>
      <c r="C1" s="65"/>
      <c r="D1" s="65"/>
      <c r="E1" s="65"/>
      <c r="F1" s="65"/>
      <c r="G1" s="65"/>
      <c r="H1" s="65"/>
      <c r="I1" s="65"/>
      <c r="J1" s="65"/>
      <c r="K1" s="65"/>
      <c r="L1" s="65"/>
      <c r="M1" s="65"/>
      <c r="N1" s="65"/>
      <c r="O1" s="65"/>
      <c r="P1" s="65"/>
      <c r="Q1" s="22"/>
      <c r="R1" s="22"/>
      <c r="S1" s="22"/>
      <c r="T1" s="22"/>
      <c r="U1" s="22"/>
      <c r="V1" s="22"/>
      <c r="W1" s="22"/>
      <c r="X1" s="22"/>
      <c r="Y1" s="22"/>
    </row>
    <row r="2" spans="1:25" ht="18">
      <c r="A2" s="65" t="s">
        <v>245</v>
      </c>
      <c r="B2" s="65"/>
      <c r="C2" s="65"/>
      <c r="D2" s="65"/>
      <c r="E2" s="65"/>
      <c r="F2" s="65"/>
      <c r="G2" s="65"/>
      <c r="H2" s="65"/>
      <c r="I2" s="65"/>
      <c r="J2" s="65"/>
      <c r="K2" s="65"/>
      <c r="L2" s="65"/>
      <c r="M2" s="65"/>
      <c r="N2" s="65"/>
      <c r="O2" s="65"/>
      <c r="P2" s="65"/>
      <c r="Q2" s="22"/>
      <c r="R2" s="22"/>
      <c r="S2" s="22"/>
      <c r="T2" s="22"/>
      <c r="U2" s="22"/>
      <c r="V2" s="22"/>
      <c r="W2" s="22"/>
      <c r="X2" s="22"/>
      <c r="Y2" s="22"/>
    </row>
    <row r="3" spans="1:25" ht="17.25" thickBot="1">
      <c r="A3" s="216" t="s">
        <v>248</v>
      </c>
      <c r="B3" s="216"/>
      <c r="C3" s="216"/>
      <c r="D3" s="216"/>
      <c r="E3" s="216"/>
      <c r="F3" s="216"/>
      <c r="G3" s="216"/>
      <c r="H3" s="216"/>
      <c r="I3" s="217"/>
      <c r="J3" s="217"/>
      <c r="K3" s="217"/>
      <c r="L3" s="217"/>
      <c r="M3" s="217"/>
      <c r="N3" s="101"/>
      <c r="O3" s="101"/>
      <c r="P3" s="106" t="s">
        <v>210</v>
      </c>
      <c r="Q3" s="101"/>
      <c r="R3" s="101"/>
      <c r="V3" s="22"/>
      <c r="W3" s="22"/>
      <c r="X3" s="22"/>
      <c r="Y3" s="22"/>
    </row>
    <row r="4" spans="1:16" ht="13.5" thickTop="1">
      <c r="A4" s="66"/>
      <c r="B4" s="67" t="s">
        <v>61</v>
      </c>
      <c r="C4" s="67"/>
      <c r="D4" s="67"/>
      <c r="E4" s="67" t="s">
        <v>62</v>
      </c>
      <c r="F4" s="67"/>
      <c r="G4" s="67"/>
      <c r="H4" s="67" t="s">
        <v>63</v>
      </c>
      <c r="I4" s="67"/>
      <c r="J4" s="67"/>
      <c r="K4" s="67" t="s">
        <v>64</v>
      </c>
      <c r="L4" s="67"/>
      <c r="M4" s="67"/>
      <c r="N4" s="67" t="s">
        <v>65</v>
      </c>
      <c r="O4" s="67"/>
      <c r="P4" s="68"/>
    </row>
    <row r="5" spans="1:16" ht="12.75">
      <c r="A5" s="69"/>
      <c r="B5" s="171" t="s">
        <v>206</v>
      </c>
      <c r="C5" s="171" t="s">
        <v>206</v>
      </c>
      <c r="D5" s="71" t="s">
        <v>66</v>
      </c>
      <c r="E5" s="171" t="s">
        <v>206</v>
      </c>
      <c r="F5" s="171" t="s">
        <v>206</v>
      </c>
      <c r="G5" s="71" t="s">
        <v>66</v>
      </c>
      <c r="H5" s="171" t="s">
        <v>206</v>
      </c>
      <c r="I5" s="171" t="s">
        <v>206</v>
      </c>
      <c r="J5" s="71" t="s">
        <v>66</v>
      </c>
      <c r="K5" s="171" t="s">
        <v>206</v>
      </c>
      <c r="L5" s="171" t="s">
        <v>206</v>
      </c>
      <c r="M5" s="71" t="s">
        <v>66</v>
      </c>
      <c r="N5" s="171" t="s">
        <v>206</v>
      </c>
      <c r="O5" s="171" t="s">
        <v>206</v>
      </c>
      <c r="P5" s="72" t="s">
        <v>66</v>
      </c>
    </row>
    <row r="6" spans="1:16" ht="0.75" customHeight="1" thickBot="1">
      <c r="A6" s="73" t="s">
        <v>67</v>
      </c>
      <c r="B6" s="147"/>
      <c r="C6" s="147"/>
      <c r="D6" s="75"/>
      <c r="E6" s="74"/>
      <c r="F6" s="74"/>
      <c r="G6" s="75"/>
      <c r="H6" s="76"/>
      <c r="I6" s="76"/>
      <c r="J6" s="75"/>
      <c r="K6" s="76"/>
      <c r="L6" s="76"/>
      <c r="M6" s="75"/>
      <c r="N6" s="76"/>
      <c r="O6" s="76"/>
      <c r="P6" s="75"/>
    </row>
    <row r="7" spans="1:16" ht="13.5" customHeight="1" thickBot="1">
      <c r="A7" s="73" t="s">
        <v>186</v>
      </c>
      <c r="B7" s="172">
        <v>133441</v>
      </c>
      <c r="C7" s="172">
        <v>137923</v>
      </c>
      <c r="D7" s="77">
        <f>+(C7/B7)-1</f>
        <v>0.03358787778868555</v>
      </c>
      <c r="E7" s="172">
        <v>138450</v>
      </c>
      <c r="F7" s="172">
        <v>143102</v>
      </c>
      <c r="G7" s="77">
        <f>+(F7/E7)-1</f>
        <v>0.033600577825929845</v>
      </c>
      <c r="H7" s="172">
        <v>143639</v>
      </c>
      <c r="I7" s="172">
        <v>148467</v>
      </c>
      <c r="J7" s="77">
        <f>+(I7/H7)-1</f>
        <v>0.033612041297976125</v>
      </c>
      <c r="K7" s="172">
        <v>149016</v>
      </c>
      <c r="L7" s="172">
        <v>154027</v>
      </c>
      <c r="M7" s="77">
        <f>+(L7/K7)-1</f>
        <v>0.033627261502120476</v>
      </c>
      <c r="N7" s="172">
        <v>153897</v>
      </c>
      <c r="O7" s="172">
        <v>159069</v>
      </c>
      <c r="P7" s="77">
        <f>+(O7/N7)-1</f>
        <v>0.03360689292188934</v>
      </c>
    </row>
    <row r="8" spans="1:16" ht="34.5" customHeight="1" hidden="1">
      <c r="A8" s="78" t="s">
        <v>68</v>
      </c>
      <c r="B8" s="172"/>
      <c r="C8" s="172"/>
      <c r="D8" s="77" t="e">
        <f>+(C8/B8)-1</f>
        <v>#DIV/0!</v>
      </c>
      <c r="E8" s="172"/>
      <c r="F8" s="172"/>
      <c r="G8" s="77" t="e">
        <f>+(F8/E8)-1</f>
        <v>#DIV/0!</v>
      </c>
      <c r="H8" s="172"/>
      <c r="I8" s="172"/>
      <c r="J8" s="77" t="e">
        <f>+(I8/H8)-1</f>
        <v>#DIV/0!</v>
      </c>
      <c r="K8" s="172"/>
      <c r="L8" s="172"/>
      <c r="M8" s="77" t="e">
        <f>+(L8/K8)-1</f>
        <v>#DIV/0!</v>
      </c>
      <c r="N8" s="172"/>
      <c r="O8" s="172"/>
      <c r="P8" s="77" t="e">
        <f>+(O8/N8)-1</f>
        <v>#DIV/0!</v>
      </c>
    </row>
    <row r="9" spans="1:16" ht="31.5" customHeight="1" thickBot="1" thickTop="1">
      <c r="A9" s="78" t="s">
        <v>187</v>
      </c>
      <c r="B9" s="172">
        <v>111484</v>
      </c>
      <c r="C9" s="172">
        <v>115179</v>
      </c>
      <c r="D9" s="77">
        <f>+(C9/B9)-1</f>
        <v>0.03314376950952602</v>
      </c>
      <c r="E9" s="172">
        <v>116121</v>
      </c>
      <c r="F9" s="172">
        <v>119977</v>
      </c>
      <c r="G9" s="77">
        <f>+(F9/E9)-1</f>
        <v>0.0332067412440471</v>
      </c>
      <c r="H9" s="172">
        <v>120929</v>
      </c>
      <c r="I9" s="172">
        <v>124954</v>
      </c>
      <c r="J9" s="77">
        <f>+(I9/H9)-1</f>
        <v>0.0332839930868527</v>
      </c>
      <c r="K9" s="172">
        <v>125888</v>
      </c>
      <c r="L9" s="172">
        <v>130112</v>
      </c>
      <c r="M9" s="77">
        <f>+(L9/K9)-1</f>
        <v>0.033553634977122604</v>
      </c>
      <c r="N9" s="172">
        <v>130501</v>
      </c>
      <c r="O9" s="172">
        <v>134857</v>
      </c>
      <c r="P9" s="77">
        <f>+(O9/N9)-1</f>
        <v>0.033379054566631705</v>
      </c>
    </row>
    <row r="10" spans="1:36" ht="33" customHeight="1" thickBot="1" thickTop="1">
      <c r="A10" s="79" t="s">
        <v>188</v>
      </c>
      <c r="B10" s="172">
        <v>99828</v>
      </c>
      <c r="C10" s="172">
        <v>103226</v>
      </c>
      <c r="D10" s="77">
        <f>+(C10/B10)-1</f>
        <v>0.03403854629963532</v>
      </c>
      <c r="E10" s="172">
        <v>104084</v>
      </c>
      <c r="F10" s="172">
        <v>107527</v>
      </c>
      <c r="G10" s="77">
        <f>+(F10/E10)-1</f>
        <v>0.03307905153529833</v>
      </c>
      <c r="H10" s="172">
        <v>108389</v>
      </c>
      <c r="I10" s="172">
        <v>111983</v>
      </c>
      <c r="J10" s="77">
        <f>+(I10/H10)-1</f>
        <v>0.03315834632665671</v>
      </c>
      <c r="K10" s="172">
        <v>112859</v>
      </c>
      <c r="L10" s="172">
        <v>116605</v>
      </c>
      <c r="M10" s="77">
        <f>+(L10/K10)-1</f>
        <v>0.03319185886814524</v>
      </c>
      <c r="N10" s="172">
        <v>117062</v>
      </c>
      <c r="O10" s="172">
        <v>120956</v>
      </c>
      <c r="P10" s="77">
        <f>+(O10/N10)-1</f>
        <v>0.033264423980454705</v>
      </c>
      <c r="AG10" t="s">
        <v>36</v>
      </c>
      <c r="AJ10" t="s">
        <v>36</v>
      </c>
    </row>
    <row r="11" spans="1:16" ht="54.95" customHeight="1" thickBot="1" thickTop="1">
      <c r="A11" s="80" t="s">
        <v>191</v>
      </c>
      <c r="B11" s="173">
        <f>SUM(B7:B10)</f>
        <v>344753</v>
      </c>
      <c r="C11" s="173">
        <f>SUM(C7:C10)</f>
        <v>356328</v>
      </c>
      <c r="D11" s="77">
        <f>+(C11/B11)-1</f>
        <v>0.03357476222106848</v>
      </c>
      <c r="E11" s="173">
        <f>SUM(E7:E10)</f>
        <v>358655</v>
      </c>
      <c r="F11" s="173">
        <f>SUM(F7:F10)</f>
        <v>370606</v>
      </c>
      <c r="G11" s="77">
        <f>+(F10/E10)-1</f>
        <v>0.03307905153529833</v>
      </c>
      <c r="H11" s="173">
        <f>SUM(H7:H10)</f>
        <v>372957</v>
      </c>
      <c r="I11" s="173">
        <f>SUM(I7:I10)</f>
        <v>385404</v>
      </c>
      <c r="J11" s="77">
        <f>+(I11/H11)-1</f>
        <v>0.03337382057448979</v>
      </c>
      <c r="K11" s="173">
        <f>SUM(K7:K10)</f>
        <v>387763</v>
      </c>
      <c r="L11" s="173">
        <f>SUM(L7:L10)</f>
        <v>400744</v>
      </c>
      <c r="M11" s="77">
        <f>+(L10/K10)-1</f>
        <v>0.03319185886814524</v>
      </c>
      <c r="N11" s="173">
        <f>SUM(N7:N10)</f>
        <v>401460</v>
      </c>
      <c r="O11" s="173">
        <f>SUM(O7:O10)</f>
        <v>414882</v>
      </c>
      <c r="P11" s="77">
        <f>+(O11/N11)-1</f>
        <v>0.033432969660738276</v>
      </c>
    </row>
    <row r="12" spans="1:25" ht="14.25" thickBot="1" thickTop="1">
      <c r="A12" s="70"/>
      <c r="B12" s="70"/>
      <c r="C12" s="70"/>
      <c r="D12" s="70"/>
      <c r="E12" s="70"/>
      <c r="F12" s="70"/>
      <c r="G12" s="70"/>
      <c r="H12" s="70"/>
      <c r="I12" s="70"/>
      <c r="J12" s="70"/>
      <c r="K12" s="70"/>
      <c r="L12" s="70"/>
      <c r="M12" s="70"/>
      <c r="N12" s="70"/>
      <c r="O12" s="70"/>
      <c r="P12" s="70"/>
      <c r="Q12" s="70"/>
      <c r="R12" s="70"/>
      <c r="S12" s="70"/>
      <c r="T12" s="70"/>
      <c r="U12" s="70"/>
      <c r="V12" s="70"/>
      <c r="W12" s="70"/>
      <c r="X12" s="70"/>
      <c r="Y12" s="70"/>
    </row>
    <row r="13" spans="1:16" ht="13.5" thickTop="1">
      <c r="A13" s="66"/>
      <c r="B13" s="67" t="s">
        <v>69</v>
      </c>
      <c r="C13" s="67"/>
      <c r="D13" s="68"/>
      <c r="E13" s="67" t="s">
        <v>70</v>
      </c>
      <c r="F13" s="67"/>
      <c r="G13" s="68"/>
      <c r="H13" s="67" t="s">
        <v>71</v>
      </c>
      <c r="I13" s="67"/>
      <c r="J13" s="68"/>
      <c r="K13" s="67" t="s">
        <v>72</v>
      </c>
      <c r="L13" s="67"/>
      <c r="M13" s="68"/>
      <c r="N13" s="67" t="s">
        <v>73</v>
      </c>
      <c r="O13" s="67"/>
      <c r="P13" s="68"/>
    </row>
    <row r="14" spans="1:16" ht="12.75">
      <c r="A14" s="69"/>
      <c r="B14" s="171" t="s">
        <v>206</v>
      </c>
      <c r="C14" s="171" t="s">
        <v>206</v>
      </c>
      <c r="D14" s="72" t="s">
        <v>66</v>
      </c>
      <c r="E14" s="171" t="s">
        <v>206</v>
      </c>
      <c r="F14" s="171" t="s">
        <v>206</v>
      </c>
      <c r="G14" s="72" t="s">
        <v>66</v>
      </c>
      <c r="H14" s="171" t="s">
        <v>206</v>
      </c>
      <c r="I14" s="171" t="s">
        <v>206</v>
      </c>
      <c r="J14" s="72" t="s">
        <v>66</v>
      </c>
      <c r="K14" s="171" t="s">
        <v>206</v>
      </c>
      <c r="L14" s="171" t="s">
        <v>206</v>
      </c>
      <c r="M14" s="72" t="s">
        <v>66</v>
      </c>
      <c r="N14" s="171" t="s">
        <v>206</v>
      </c>
      <c r="O14" s="171" t="s">
        <v>206</v>
      </c>
      <c r="P14" s="72" t="s">
        <v>66</v>
      </c>
    </row>
    <row r="15" spans="1:16" ht="0.75" customHeight="1">
      <c r="A15" s="73" t="s">
        <v>67</v>
      </c>
      <c r="B15" s="76"/>
      <c r="C15" s="76"/>
      <c r="D15" s="75"/>
      <c r="E15" s="76"/>
      <c r="F15" s="76"/>
      <c r="G15" s="75"/>
      <c r="H15" s="76"/>
      <c r="I15" s="76"/>
      <c r="J15" s="75"/>
      <c r="K15" s="76"/>
      <c r="L15" s="76"/>
      <c r="M15" s="75"/>
      <c r="N15" s="76"/>
      <c r="O15" s="76"/>
      <c r="P15" s="75"/>
    </row>
    <row r="16" spans="1:16" ht="13.5" customHeight="1" thickBot="1">
      <c r="A16" s="73" t="s">
        <v>186</v>
      </c>
      <c r="B16" s="172">
        <v>158149</v>
      </c>
      <c r="C16" s="172">
        <v>163077</v>
      </c>
      <c r="D16" s="77">
        <f>+(C16/B16)-1</f>
        <v>0.03116048789432746</v>
      </c>
      <c r="E16" s="172">
        <v>160053</v>
      </c>
      <c r="F16" s="172">
        <v>165093</v>
      </c>
      <c r="G16" s="77">
        <f>+(F16/E16)-1</f>
        <v>0.03148956908024214</v>
      </c>
      <c r="H16" s="172">
        <v>161256</v>
      </c>
      <c r="I16" s="172">
        <v>166336</v>
      </c>
      <c r="J16" s="77">
        <f>+(I16/H16)-1</f>
        <v>0.03150270377536346</v>
      </c>
      <c r="K16" s="172">
        <v>161377</v>
      </c>
      <c r="L16" s="172">
        <v>167025</v>
      </c>
      <c r="M16" s="77">
        <f>+(L16/K16)-1</f>
        <v>0.0349987916493677</v>
      </c>
      <c r="N16" s="172">
        <v>162444</v>
      </c>
      <c r="O16" s="172">
        <v>167956</v>
      </c>
      <c r="P16" s="77">
        <f>+(O16/N16)-1</f>
        <v>0.03393169338356605</v>
      </c>
    </row>
    <row r="17" spans="1:16" ht="34.5" customHeight="1" hidden="1">
      <c r="A17" s="78" t="s">
        <v>68</v>
      </c>
      <c r="B17" s="172"/>
      <c r="C17" s="172"/>
      <c r="D17" s="77" t="e">
        <f>+(C17/B17)-1</f>
        <v>#DIV/0!</v>
      </c>
      <c r="E17" s="172"/>
      <c r="F17" s="172"/>
      <c r="G17" s="77" t="e">
        <f>+(F17/E17)-1</f>
        <v>#DIV/0!</v>
      </c>
      <c r="H17" s="172"/>
      <c r="I17" s="172"/>
      <c r="J17" s="77" t="e">
        <f>+(I17/H17)-1</f>
        <v>#DIV/0!</v>
      </c>
      <c r="K17" s="172"/>
      <c r="L17" s="172"/>
      <c r="M17" s="77" t="e">
        <f>+(L17/K17)-1</f>
        <v>#DIV/0!</v>
      </c>
      <c r="N17" s="172"/>
      <c r="O17" s="172"/>
      <c r="P17" s="77" t="e">
        <f>+(O17/N17)-1</f>
        <v>#DIV/0!</v>
      </c>
    </row>
    <row r="18" spans="1:16" ht="31.5" customHeight="1" thickBot="1" thickTop="1">
      <c r="A18" s="78" t="s">
        <v>187</v>
      </c>
      <c r="B18" s="172">
        <v>134171</v>
      </c>
      <c r="C18" s="172">
        <v>138655</v>
      </c>
      <c r="D18" s="77">
        <f>+(C18/B18)-1</f>
        <v>0.0334200386074488</v>
      </c>
      <c r="E18" s="172">
        <v>135340</v>
      </c>
      <c r="F18" s="172">
        <v>139865</v>
      </c>
      <c r="G18" s="77">
        <f>+(F18/E18)-1</f>
        <v>0.033434313580611885</v>
      </c>
      <c r="H18" s="172">
        <v>136644</v>
      </c>
      <c r="I18" s="172">
        <v>141215</v>
      </c>
      <c r="J18" s="77">
        <f>+(I18/H18)-1</f>
        <v>0.033451889581686656</v>
      </c>
      <c r="K18" s="172">
        <v>137296</v>
      </c>
      <c r="L18" s="172">
        <v>141897</v>
      </c>
      <c r="M18" s="77">
        <f>+(L18/K18)-1</f>
        <v>0.03351153711688615</v>
      </c>
      <c r="N18" s="174">
        <v>137790</v>
      </c>
      <c r="O18" s="174">
        <v>142400</v>
      </c>
      <c r="P18" s="77">
        <f>+(O18/N18)-1</f>
        <v>0.033456709485448766</v>
      </c>
    </row>
    <row r="19" spans="1:36" ht="33" customHeight="1" thickBot="1" thickTop="1">
      <c r="A19" s="79" t="s">
        <v>188</v>
      </c>
      <c r="B19" s="172">
        <v>120247</v>
      </c>
      <c r="C19" s="172">
        <v>124251</v>
      </c>
      <c r="D19" s="77">
        <f>+(C19/B19)-1</f>
        <v>0.0332981280198259</v>
      </c>
      <c r="E19" s="172">
        <v>121531</v>
      </c>
      <c r="F19" s="172">
        <v>125579</v>
      </c>
      <c r="G19" s="77">
        <f>+(F19/E19)-1</f>
        <v>0.03330837399511233</v>
      </c>
      <c r="H19" s="172">
        <v>122693</v>
      </c>
      <c r="I19" s="172">
        <v>126781</v>
      </c>
      <c r="J19" s="77">
        <f>+(I19/H19)-1</f>
        <v>0.03331893425052779</v>
      </c>
      <c r="K19" s="172">
        <v>123041</v>
      </c>
      <c r="L19" s="172">
        <v>127148</v>
      </c>
      <c r="M19" s="77">
        <f>+(L19/K19)-1</f>
        <v>0.03337911752992895</v>
      </c>
      <c r="N19" s="172">
        <v>123605</v>
      </c>
      <c r="O19" s="172">
        <v>127724</v>
      </c>
      <c r="P19" s="77">
        <f>+(O19/N19)-1</f>
        <v>0.0333238946644554</v>
      </c>
      <c r="AG19" t="s">
        <v>36</v>
      </c>
      <c r="AJ19" t="s">
        <v>36</v>
      </c>
    </row>
    <row r="20" spans="1:16" ht="54.95" customHeight="1" thickBot="1" thickTop="1">
      <c r="A20" s="80" t="s">
        <v>191</v>
      </c>
      <c r="B20" s="173">
        <f>SUM(B16:B19)</f>
        <v>412567</v>
      </c>
      <c r="C20" s="173">
        <f>SUM(C16:C19)</f>
        <v>425983</v>
      </c>
      <c r="D20" s="77">
        <f>+(C20/B20)-1</f>
        <v>0.032518354594526455</v>
      </c>
      <c r="E20" s="173">
        <f>SUM(E16:E19)</f>
        <v>416924</v>
      </c>
      <c r="F20" s="173">
        <f>SUM(F16:F19)</f>
        <v>430537</v>
      </c>
      <c r="G20" s="77">
        <f>+(F20/E20)-1</f>
        <v>0.03265103472095632</v>
      </c>
      <c r="H20" s="173">
        <f>SUM(H16:H19)</f>
        <v>420593</v>
      </c>
      <c r="I20" s="173">
        <f>SUM(I16:I19)</f>
        <v>434332</v>
      </c>
      <c r="J20" s="77">
        <f>+(I20/H20)-1</f>
        <v>0.032665783786225644</v>
      </c>
      <c r="K20" s="173">
        <f>SUM(K16:K19)</f>
        <v>421714</v>
      </c>
      <c r="L20" s="173">
        <f>SUM(L16:L19)</f>
        <v>436070</v>
      </c>
      <c r="M20" s="77">
        <f>+(L20/K20)-1</f>
        <v>0.034042028483759035</v>
      </c>
      <c r="N20" s="173">
        <f>SUM(N16:N19)</f>
        <v>423839</v>
      </c>
      <c r="O20" s="173">
        <f>SUM(O16:O19)</f>
        <v>438080</v>
      </c>
      <c r="P20" s="77">
        <f>+(O20/N20)-1</f>
        <v>0.033600022650110084</v>
      </c>
    </row>
    <row r="21" spans="1:25" ht="13.5" thickTop="1">
      <c r="A21" s="70"/>
      <c r="B21" s="70"/>
      <c r="C21" s="70"/>
      <c r="D21" s="70"/>
      <c r="E21" s="70"/>
      <c r="F21" s="70"/>
      <c r="G21" s="70"/>
      <c r="H21" s="70"/>
      <c r="I21" s="70"/>
      <c r="J21" s="70"/>
      <c r="K21" s="70"/>
      <c r="L21" s="70"/>
      <c r="M21" s="70"/>
      <c r="N21" s="109" t="s">
        <v>234</v>
      </c>
      <c r="O21" s="70"/>
      <c r="P21" s="70"/>
      <c r="Q21" s="70"/>
      <c r="R21" s="70"/>
      <c r="S21" s="70"/>
      <c r="T21" s="70"/>
      <c r="U21" s="70"/>
      <c r="V21" s="70"/>
      <c r="W21" s="70"/>
      <c r="X21" s="70"/>
      <c r="Y21" s="70"/>
    </row>
    <row r="22" spans="1:25" ht="12.75">
      <c r="A22" s="212" t="s">
        <v>246</v>
      </c>
      <c r="B22" s="212"/>
      <c r="C22" s="212"/>
      <c r="D22" s="212"/>
      <c r="E22" s="212"/>
      <c r="F22" s="212"/>
      <c r="G22" s="81"/>
      <c r="H22" s="70"/>
      <c r="I22" s="70"/>
      <c r="J22" s="70"/>
      <c r="K22" s="109"/>
      <c r="L22" s="70"/>
      <c r="M22" s="70"/>
      <c r="N22" s="159" t="s">
        <v>189</v>
      </c>
      <c r="O22" s="159" t="s">
        <v>208</v>
      </c>
      <c r="P22" s="159" t="s">
        <v>238</v>
      </c>
      <c r="Q22" s="70"/>
      <c r="R22" s="70"/>
      <c r="S22" s="70"/>
      <c r="T22" s="70"/>
      <c r="U22" s="70"/>
      <c r="V22" s="70"/>
      <c r="W22" s="70"/>
      <c r="X22" s="70"/>
      <c r="Y22" s="70"/>
    </row>
    <row r="23" spans="1:25" ht="13.5" thickBot="1">
      <c r="A23" s="181"/>
      <c r="B23" s="181"/>
      <c r="C23" s="181"/>
      <c r="D23" s="181"/>
      <c r="E23" s="181"/>
      <c r="F23" s="181"/>
      <c r="G23" s="81"/>
      <c r="H23" s="70"/>
      <c r="I23" s="70"/>
      <c r="J23" s="70"/>
      <c r="K23" s="109"/>
      <c r="L23" s="70"/>
      <c r="M23" s="70"/>
      <c r="N23" s="160">
        <f>+$K27+AcctLongCY!E29</f>
        <v>62958.129100000006</v>
      </c>
      <c r="O23" s="160">
        <f>+$K27+AcctLongCY!F29</f>
        <v>63555.916600000004</v>
      </c>
      <c r="P23" s="160">
        <f>+$K27+AcctLongCY!G29</f>
        <v>63865.6416</v>
      </c>
      <c r="Q23" s="70"/>
      <c r="R23" s="70"/>
      <c r="S23" s="70"/>
      <c r="T23" s="70"/>
      <c r="U23" s="70"/>
      <c r="V23" s="70"/>
      <c r="W23" s="70"/>
      <c r="X23" s="70"/>
      <c r="Y23" s="70"/>
    </row>
    <row r="24" spans="1:25" ht="13.5" thickTop="1">
      <c r="A24" s="66"/>
      <c r="B24" s="67" t="s">
        <v>74</v>
      </c>
      <c r="C24" s="67" t="s">
        <v>62</v>
      </c>
      <c r="D24" s="67" t="s">
        <v>75</v>
      </c>
      <c r="E24" s="67" t="s">
        <v>64</v>
      </c>
      <c r="F24" s="67" t="s">
        <v>65</v>
      </c>
      <c r="G24" s="82" t="s">
        <v>69</v>
      </c>
      <c r="H24" s="82" t="s">
        <v>70</v>
      </c>
      <c r="I24" s="83" t="s">
        <v>71</v>
      </c>
      <c r="J24" s="83" t="s">
        <v>72</v>
      </c>
      <c r="K24" s="83" t="s">
        <v>76</v>
      </c>
      <c r="L24" s="70"/>
      <c r="M24" s="70"/>
      <c r="O24" s="188"/>
      <c r="P24" s="189"/>
      <c r="Q24" s="70"/>
      <c r="R24" s="70"/>
      <c r="S24" s="70"/>
      <c r="T24" s="70"/>
      <c r="U24" s="70"/>
      <c r="V24" s="70"/>
      <c r="W24" s="70"/>
      <c r="X24" s="70"/>
      <c r="Y24" s="70"/>
    </row>
    <row r="25" spans="1:25" ht="25.5">
      <c r="A25" s="78" t="s">
        <v>236</v>
      </c>
      <c r="B25" s="84"/>
      <c r="C25" s="84"/>
      <c r="D25" s="84"/>
      <c r="E25" s="84"/>
      <c r="F25" s="84"/>
      <c r="G25" s="85"/>
      <c r="H25" s="85"/>
      <c r="I25" s="86"/>
      <c r="J25" s="86"/>
      <c r="K25" s="87">
        <v>59931</v>
      </c>
      <c r="L25" s="70" t="s">
        <v>235</v>
      </c>
      <c r="M25" s="70"/>
      <c r="N25" s="70"/>
      <c r="O25" s="70"/>
      <c r="P25" s="70"/>
      <c r="Q25" s="70"/>
      <c r="R25" s="70"/>
      <c r="S25" s="70"/>
      <c r="T25" s="70"/>
      <c r="U25" s="70"/>
      <c r="V25" s="70"/>
      <c r="W25" s="70"/>
      <c r="X25" s="70"/>
      <c r="Y25" s="70"/>
    </row>
    <row r="26" spans="1:25" ht="25.5">
      <c r="A26" s="78" t="s">
        <v>207</v>
      </c>
      <c r="B26" s="88">
        <f>+D11</f>
        <v>0.03357476222106848</v>
      </c>
      <c r="C26" s="88">
        <f>+G11</f>
        <v>0.03307905153529833</v>
      </c>
      <c r="D26" s="88">
        <f>+J11</f>
        <v>0.03337382057448979</v>
      </c>
      <c r="E26" s="88">
        <f>+M11</f>
        <v>0.03319185886814524</v>
      </c>
      <c r="F26" s="88">
        <f>+P11</f>
        <v>0.033432969660738276</v>
      </c>
      <c r="G26" s="89">
        <f>+D20</f>
        <v>0.032518354594526455</v>
      </c>
      <c r="H26" s="90">
        <f>+G20</f>
        <v>0.03265103472095632</v>
      </c>
      <c r="I26" s="91">
        <f>+J20</f>
        <v>0.032665783786225644</v>
      </c>
      <c r="J26" s="92">
        <f>+M20</f>
        <v>0.034042028483759035</v>
      </c>
      <c r="K26" s="175">
        <f>ROUND(+P20,4)</f>
        <v>0.0336</v>
      </c>
      <c r="L26" s="70"/>
      <c r="M26" s="70"/>
      <c r="N26" s="70"/>
      <c r="O26" s="70"/>
      <c r="P26" s="70"/>
      <c r="Q26" s="70"/>
      <c r="R26" s="70"/>
      <c r="S26" s="70"/>
      <c r="T26" s="70"/>
      <c r="U26" s="70"/>
      <c r="V26" s="70"/>
      <c r="W26" s="70"/>
      <c r="X26" s="70"/>
      <c r="Y26" s="70"/>
    </row>
    <row r="27" spans="1:25" ht="48" thickBot="1">
      <c r="A27" s="93" t="s">
        <v>237</v>
      </c>
      <c r="B27" s="94"/>
      <c r="C27" s="94"/>
      <c r="D27" s="94"/>
      <c r="E27" s="94"/>
      <c r="F27" s="94"/>
      <c r="G27" s="94"/>
      <c r="H27" s="94"/>
      <c r="I27" s="94"/>
      <c r="J27" s="94"/>
      <c r="K27" s="95">
        <f>K25*(1+K26)</f>
        <v>61944.6816</v>
      </c>
      <c r="L27" s="214" t="s">
        <v>247</v>
      </c>
      <c r="M27" s="215"/>
      <c r="N27" s="215"/>
      <c r="O27" s="215"/>
      <c r="P27" s="215"/>
      <c r="Q27" s="70"/>
      <c r="R27" s="70"/>
      <c r="S27" s="70"/>
      <c r="T27" s="70"/>
      <c r="U27" s="70"/>
      <c r="V27" s="70"/>
      <c r="W27" s="70"/>
      <c r="X27" s="70"/>
      <c r="Y27" s="70"/>
    </row>
    <row r="28" spans="1:25" ht="39.95" customHeight="1" thickTop="1">
      <c r="A28" s="213" t="s">
        <v>190</v>
      </c>
      <c r="B28" s="196"/>
      <c r="C28" s="196"/>
      <c r="D28" s="196"/>
      <c r="E28" s="196"/>
      <c r="F28" s="196"/>
      <c r="G28" s="196"/>
      <c r="H28" s="196"/>
      <c r="I28" s="196"/>
      <c r="J28" s="196"/>
      <c r="K28" s="196"/>
      <c r="L28" s="196"/>
      <c r="M28" s="196"/>
      <c r="N28" s="196"/>
      <c r="O28" s="196"/>
      <c r="P28" s="196"/>
      <c r="Q28" s="96"/>
      <c r="R28" s="96"/>
      <c r="S28" s="96"/>
      <c r="T28" s="96"/>
      <c r="U28" s="96"/>
      <c r="V28" s="96"/>
      <c r="W28" s="96"/>
      <c r="X28" s="96"/>
      <c r="Y28" s="96"/>
    </row>
  </sheetData>
  <mergeCells count="4">
    <mergeCell ref="A22:F22"/>
    <mergeCell ref="A28:P28"/>
    <mergeCell ref="L27:P27"/>
    <mergeCell ref="A3:M3"/>
  </mergeCells>
  <printOptions/>
  <pageMargins left="0.2" right="0.2" top="1" bottom="1" header="0.5" footer="0.5"/>
  <pageSetup fitToHeight="1" fitToWidth="1" horizontalDpi="600" verticalDpi="600" orientation="landscape" scale="77"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workbookViewId="0" topLeftCell="A1">
      <selection activeCell="A1" sqref="A1:O1"/>
    </sheetView>
  </sheetViews>
  <sheetFormatPr defaultColWidth="9.140625" defaultRowHeight="12.75"/>
  <cols>
    <col min="1" max="1" width="9.140625" style="149" customWidth="1"/>
    <col min="2" max="2" width="10.7109375" style="149" customWidth="1"/>
    <col min="3" max="3" width="11.28125" style="149" bestFit="1" customWidth="1"/>
    <col min="4" max="4" width="10.28125" style="149" bestFit="1" customWidth="1"/>
    <col min="5" max="8" width="11.28125" style="149" bestFit="1" customWidth="1"/>
    <col min="9" max="16384" width="9.140625" style="149" customWidth="1"/>
  </cols>
  <sheetData>
    <row r="1" ht="12.75">
      <c r="B1" s="149" t="s">
        <v>239</v>
      </c>
    </row>
    <row r="2" ht="12.75">
      <c r="C2" s="149" t="s">
        <v>138</v>
      </c>
    </row>
    <row r="3" spans="2:8" ht="12.75">
      <c r="B3" s="158" t="s">
        <v>137</v>
      </c>
      <c r="C3" s="158">
        <v>7</v>
      </c>
      <c r="D3" s="158">
        <v>8</v>
      </c>
      <c r="E3" s="158">
        <v>9</v>
      </c>
      <c r="F3" s="158">
        <v>10</v>
      </c>
      <c r="G3" s="158">
        <v>11</v>
      </c>
      <c r="H3" s="158"/>
    </row>
    <row r="4" spans="2:8" ht="12.75">
      <c r="B4" s="149" t="s">
        <v>14</v>
      </c>
      <c r="C4" s="157">
        <v>0</v>
      </c>
      <c r="D4" s="157">
        <v>0</v>
      </c>
      <c r="E4" s="157">
        <v>0.03</v>
      </c>
      <c r="F4" s="157">
        <v>0.03</v>
      </c>
      <c r="G4" s="157">
        <v>0.03</v>
      </c>
      <c r="H4" s="157"/>
    </row>
    <row r="5" spans="2:8" ht="12.75">
      <c r="B5" s="149" t="s">
        <v>15</v>
      </c>
      <c r="C5" s="157">
        <v>0</v>
      </c>
      <c r="D5" s="157">
        <v>0.03</v>
      </c>
      <c r="E5" s="157">
        <v>0.03</v>
      </c>
      <c r="F5" s="157">
        <v>0.03</v>
      </c>
      <c r="G5" s="157">
        <v>0.03</v>
      </c>
      <c r="H5" s="157"/>
    </row>
    <row r="6" spans="2:8" ht="12.75">
      <c r="B6" s="149" t="s">
        <v>16</v>
      </c>
      <c r="C6" s="157">
        <v>0</v>
      </c>
      <c r="D6" s="157">
        <v>0</v>
      </c>
      <c r="E6" s="157">
        <v>0</v>
      </c>
      <c r="F6" s="157">
        <v>0.02</v>
      </c>
      <c r="G6" s="157">
        <v>0.02</v>
      </c>
      <c r="H6" s="157"/>
    </row>
    <row r="7" spans="2:8" ht="12.75">
      <c r="B7" s="149" t="s">
        <v>17</v>
      </c>
      <c r="C7" s="157">
        <v>0</v>
      </c>
      <c r="D7" s="157">
        <v>0</v>
      </c>
      <c r="E7" s="157">
        <v>0</v>
      </c>
      <c r="F7" s="157">
        <v>0</v>
      </c>
      <c r="G7" s="157">
        <v>0.025</v>
      </c>
      <c r="H7" s="157"/>
    </row>
    <row r="8" spans="2:8" ht="12.75">
      <c r="B8" s="149" t="s">
        <v>19</v>
      </c>
      <c r="C8" s="157">
        <v>0</v>
      </c>
      <c r="D8" s="157">
        <v>0</v>
      </c>
      <c r="E8" s="157">
        <v>0</v>
      </c>
      <c r="F8" s="157">
        <v>0</v>
      </c>
      <c r="G8" s="156">
        <v>0.025</v>
      </c>
      <c r="H8" s="156"/>
    </row>
    <row r="9" spans="2:8" ht="12.75">
      <c r="B9" s="149" t="s">
        <v>134</v>
      </c>
      <c r="C9" s="157">
        <v>0</v>
      </c>
      <c r="D9" s="157">
        <v>0</v>
      </c>
      <c r="E9" s="157">
        <v>0</v>
      </c>
      <c r="F9" s="156">
        <v>0.025</v>
      </c>
      <c r="G9" s="156">
        <v>0.025</v>
      </c>
      <c r="H9" s="156"/>
    </row>
    <row r="10" spans="2:8" ht="12.75">
      <c r="B10" s="149" t="s">
        <v>21</v>
      </c>
      <c r="C10" s="157">
        <v>0.03</v>
      </c>
      <c r="D10" s="157">
        <v>0.03</v>
      </c>
      <c r="E10" s="157">
        <v>0.03</v>
      </c>
      <c r="F10" s="156">
        <v>0.04</v>
      </c>
      <c r="G10" s="156">
        <v>0.04</v>
      </c>
      <c r="H10" s="156"/>
    </row>
    <row r="11" spans="2:8" ht="12.75">
      <c r="B11" s="149" t="s">
        <v>133</v>
      </c>
      <c r="C11" s="154">
        <v>533</v>
      </c>
      <c r="D11" s="154">
        <v>533</v>
      </c>
      <c r="E11" s="154">
        <v>533</v>
      </c>
      <c r="F11" s="154">
        <v>1865</v>
      </c>
      <c r="G11" s="154">
        <v>1865</v>
      </c>
      <c r="H11" s="154"/>
    </row>
    <row r="12" spans="2:8" ht="12.75">
      <c r="B12" s="149" t="s">
        <v>23</v>
      </c>
      <c r="C12" s="157">
        <v>0</v>
      </c>
      <c r="D12" s="157">
        <v>0.025</v>
      </c>
      <c r="E12" s="157">
        <v>0.025</v>
      </c>
      <c r="F12" s="156">
        <v>0.025</v>
      </c>
      <c r="G12" s="156">
        <v>0.025</v>
      </c>
      <c r="H12" s="156"/>
    </row>
    <row r="13" spans="2:8" ht="12.75">
      <c r="B13" s="149" t="s">
        <v>24</v>
      </c>
      <c r="C13" s="157">
        <v>0.04</v>
      </c>
      <c r="D13" s="157">
        <v>0.04</v>
      </c>
      <c r="E13" s="157">
        <v>0.04</v>
      </c>
      <c r="F13" s="156">
        <v>0.06</v>
      </c>
      <c r="G13" s="156">
        <v>0.06</v>
      </c>
      <c r="H13" s="156"/>
    </row>
    <row r="14" spans="3:8" ht="12.75">
      <c r="C14" s="157"/>
      <c r="D14" s="157"/>
      <c r="E14" s="157"/>
      <c r="F14" s="156"/>
      <c r="G14" s="156"/>
      <c r="H14" s="156"/>
    </row>
    <row r="15" spans="2:8" ht="12.75">
      <c r="B15" s="152" t="s">
        <v>136</v>
      </c>
      <c r="C15" s="179">
        <v>61945</v>
      </c>
      <c r="D15" s="187">
        <v>0.9411764705882353</v>
      </c>
      <c r="E15" s="154"/>
      <c r="F15" s="154"/>
      <c r="G15" s="154"/>
      <c r="H15" s="154"/>
    </row>
    <row r="16" spans="3:8" ht="12.75">
      <c r="C16" s="154"/>
      <c r="D16" s="154"/>
      <c r="E16" s="154"/>
      <c r="F16" s="154"/>
      <c r="G16" s="154"/>
      <c r="H16" s="154"/>
    </row>
    <row r="17" spans="2:8" ht="12.75">
      <c r="B17" s="155" t="s">
        <v>135</v>
      </c>
      <c r="C17" s="154"/>
      <c r="D17" s="154"/>
      <c r="E17" s="154"/>
      <c r="F17" s="154"/>
      <c r="G17" s="154"/>
      <c r="H17" s="154"/>
    </row>
    <row r="18" spans="2:8" ht="12.75">
      <c r="B18" s="149" t="s">
        <v>14</v>
      </c>
      <c r="C18" s="154">
        <f aca="true" t="shared" si="0" ref="C18:G24">+$C$15*C4</f>
        <v>0</v>
      </c>
      <c r="D18" s="154">
        <f t="shared" si="0"/>
        <v>0</v>
      </c>
      <c r="E18" s="154">
        <f t="shared" si="0"/>
        <v>1858.35</v>
      </c>
      <c r="F18" s="154">
        <f t="shared" si="0"/>
        <v>1858.35</v>
      </c>
      <c r="G18" s="154">
        <f t="shared" si="0"/>
        <v>1858.35</v>
      </c>
      <c r="H18" s="154"/>
    </row>
    <row r="19" spans="2:8" ht="12.75">
      <c r="B19" s="149" t="s">
        <v>15</v>
      </c>
      <c r="C19" s="154">
        <f t="shared" si="0"/>
        <v>0</v>
      </c>
      <c r="D19" s="154">
        <f t="shared" si="0"/>
        <v>1858.35</v>
      </c>
      <c r="E19" s="154">
        <f t="shared" si="0"/>
        <v>1858.35</v>
      </c>
      <c r="F19" s="154">
        <f t="shared" si="0"/>
        <v>1858.35</v>
      </c>
      <c r="G19" s="154">
        <f t="shared" si="0"/>
        <v>1858.35</v>
      </c>
      <c r="H19" s="154"/>
    </row>
    <row r="20" spans="2:8" ht="12.75">
      <c r="B20" s="149" t="s">
        <v>16</v>
      </c>
      <c r="C20" s="154">
        <f t="shared" si="0"/>
        <v>0</v>
      </c>
      <c r="D20" s="154">
        <f t="shared" si="0"/>
        <v>0</v>
      </c>
      <c r="E20" s="154">
        <f t="shared" si="0"/>
        <v>0</v>
      </c>
      <c r="F20" s="154">
        <f t="shared" si="0"/>
        <v>1238.9</v>
      </c>
      <c r="G20" s="154">
        <f t="shared" si="0"/>
        <v>1238.9</v>
      </c>
      <c r="H20" s="154"/>
    </row>
    <row r="21" spans="2:8" ht="12.75">
      <c r="B21" s="149" t="s">
        <v>17</v>
      </c>
      <c r="C21" s="154">
        <f t="shared" si="0"/>
        <v>0</v>
      </c>
      <c r="D21" s="154">
        <f t="shared" si="0"/>
        <v>0</v>
      </c>
      <c r="E21" s="154">
        <f t="shared" si="0"/>
        <v>0</v>
      </c>
      <c r="F21" s="154">
        <f t="shared" si="0"/>
        <v>0</v>
      </c>
      <c r="G21" s="154">
        <f t="shared" si="0"/>
        <v>1548.625</v>
      </c>
      <c r="H21" s="154"/>
    </row>
    <row r="22" spans="2:8" ht="12.75">
      <c r="B22" s="149" t="s">
        <v>19</v>
      </c>
      <c r="C22" s="154">
        <f t="shared" si="0"/>
        <v>0</v>
      </c>
      <c r="D22" s="154">
        <f t="shared" si="0"/>
        <v>0</v>
      </c>
      <c r="E22" s="154">
        <f t="shared" si="0"/>
        <v>0</v>
      </c>
      <c r="F22" s="154">
        <f t="shared" si="0"/>
        <v>0</v>
      </c>
      <c r="G22" s="154">
        <f t="shared" si="0"/>
        <v>1548.625</v>
      </c>
      <c r="H22" s="154"/>
    </row>
    <row r="23" spans="2:8" ht="12.75">
      <c r="B23" s="149" t="s">
        <v>134</v>
      </c>
      <c r="C23" s="154">
        <f t="shared" si="0"/>
        <v>0</v>
      </c>
      <c r="D23" s="154">
        <f t="shared" si="0"/>
        <v>0</v>
      </c>
      <c r="E23" s="154">
        <f t="shared" si="0"/>
        <v>0</v>
      </c>
      <c r="F23" s="154">
        <f t="shared" si="0"/>
        <v>1548.625</v>
      </c>
      <c r="G23" s="154">
        <f t="shared" si="0"/>
        <v>1548.625</v>
      </c>
      <c r="H23" s="154"/>
    </row>
    <row r="24" spans="2:8" ht="12.75">
      <c r="B24" s="149" t="s">
        <v>21</v>
      </c>
      <c r="C24" s="154">
        <f t="shared" si="0"/>
        <v>1858.35</v>
      </c>
      <c r="D24" s="154">
        <f t="shared" si="0"/>
        <v>1858.35</v>
      </c>
      <c r="E24" s="154">
        <f t="shared" si="0"/>
        <v>1858.35</v>
      </c>
      <c r="F24" s="154">
        <f t="shared" si="0"/>
        <v>2477.8</v>
      </c>
      <c r="G24" s="154">
        <f t="shared" si="0"/>
        <v>2477.8</v>
      </c>
      <c r="H24" s="154"/>
    </row>
    <row r="25" spans="2:8" ht="12.75">
      <c r="B25" s="149" t="s">
        <v>133</v>
      </c>
      <c r="C25" s="154">
        <f aca="true" t="shared" si="1" ref="C25:G25">+C11</f>
        <v>533</v>
      </c>
      <c r="D25" s="154">
        <f t="shared" si="1"/>
        <v>533</v>
      </c>
      <c r="E25" s="154">
        <f t="shared" si="1"/>
        <v>533</v>
      </c>
      <c r="F25" s="154">
        <f t="shared" si="1"/>
        <v>1865</v>
      </c>
      <c r="G25" s="154">
        <f t="shared" si="1"/>
        <v>1865</v>
      </c>
      <c r="H25" s="154"/>
    </row>
    <row r="26" spans="2:8" ht="12.75">
      <c r="B26" s="149" t="s">
        <v>23</v>
      </c>
      <c r="C26" s="154">
        <f aca="true" t="shared" si="2" ref="C26:G27">+$C$15*C12</f>
        <v>0</v>
      </c>
      <c r="D26" s="154">
        <f t="shared" si="2"/>
        <v>1548.625</v>
      </c>
      <c r="E26" s="154">
        <f t="shared" si="2"/>
        <v>1548.625</v>
      </c>
      <c r="F26" s="154">
        <f t="shared" si="2"/>
        <v>1548.625</v>
      </c>
      <c r="G26" s="154">
        <f t="shared" si="2"/>
        <v>1548.625</v>
      </c>
      <c r="H26" s="154"/>
    </row>
    <row r="27" spans="2:8" ht="12.75">
      <c r="B27" s="149" t="s">
        <v>24</v>
      </c>
      <c r="C27" s="154">
        <f t="shared" si="2"/>
        <v>2477.8</v>
      </c>
      <c r="D27" s="154">
        <f t="shared" si="2"/>
        <v>2477.8</v>
      </c>
      <c r="E27" s="154">
        <f t="shared" si="2"/>
        <v>2477.8</v>
      </c>
      <c r="F27" s="154">
        <f t="shared" si="2"/>
        <v>3716.7</v>
      </c>
      <c r="G27" s="154">
        <f t="shared" si="2"/>
        <v>3716.7</v>
      </c>
      <c r="H27" s="154"/>
    </row>
    <row r="28" spans="2:8" ht="12.75">
      <c r="B28" s="149" t="s">
        <v>132</v>
      </c>
      <c r="C28" s="153">
        <f aca="true" t="shared" si="3" ref="C28:G28">SUM(C18:C27)</f>
        <v>4869.15</v>
      </c>
      <c r="D28" s="153">
        <f t="shared" si="3"/>
        <v>8276.125</v>
      </c>
      <c r="E28" s="153">
        <f t="shared" si="3"/>
        <v>10134.474999999999</v>
      </c>
      <c r="F28" s="153">
        <f t="shared" si="3"/>
        <v>16112.350000000002</v>
      </c>
      <c r="G28" s="153">
        <f t="shared" si="3"/>
        <v>19209.600000000002</v>
      </c>
      <c r="H28" s="153"/>
    </row>
    <row r="29" spans="2:8" ht="12.75">
      <c r="B29" s="152" t="s">
        <v>131</v>
      </c>
      <c r="C29" s="151">
        <f aca="true" t="shared" si="4" ref="C29:G29">+C28/10</f>
        <v>486.91499999999996</v>
      </c>
      <c r="D29" s="151">
        <f t="shared" si="4"/>
        <v>827.6125</v>
      </c>
      <c r="E29" s="151">
        <f t="shared" si="4"/>
        <v>1013.4474999999999</v>
      </c>
      <c r="F29" s="151">
        <f t="shared" si="4"/>
        <v>1611.2350000000001</v>
      </c>
      <c r="G29" s="151">
        <f t="shared" si="4"/>
        <v>1920.9600000000003</v>
      </c>
      <c r="H29" s="151"/>
    </row>
    <row r="30" spans="3:5" ht="12.75">
      <c r="C30" s="150"/>
      <c r="D30" s="150"/>
      <c r="E30" s="150"/>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workbookViewId="0" topLeftCell="A1">
      <selection activeCell="A1" sqref="A1:O1"/>
    </sheetView>
  </sheetViews>
  <sheetFormatPr defaultColWidth="9.140625" defaultRowHeight="12.75"/>
  <cols>
    <col min="1" max="1" width="9.140625" style="149" customWidth="1"/>
    <col min="2" max="2" width="10.7109375" style="149" customWidth="1"/>
    <col min="3" max="3" width="11.28125" style="149" bestFit="1" customWidth="1"/>
    <col min="4" max="5" width="10.28125" style="149" bestFit="1" customWidth="1"/>
    <col min="6" max="7" width="11.28125" style="149" bestFit="1" customWidth="1"/>
    <col min="8" max="16384" width="9.140625" style="149" customWidth="1"/>
  </cols>
  <sheetData>
    <row r="1" ht="12.75">
      <c r="B1" s="149" t="s">
        <v>239</v>
      </c>
    </row>
    <row r="2" ht="12.75">
      <c r="C2" s="149" t="s">
        <v>138</v>
      </c>
    </row>
    <row r="3" spans="2:7" ht="12.75">
      <c r="B3" s="158" t="s">
        <v>137</v>
      </c>
      <c r="C3" s="158">
        <v>7</v>
      </c>
      <c r="D3" s="158">
        <v>8</v>
      </c>
      <c r="E3" s="158">
        <v>9</v>
      </c>
      <c r="F3" s="158">
        <v>10</v>
      </c>
      <c r="G3" s="158">
        <v>11</v>
      </c>
    </row>
    <row r="4" spans="2:7" ht="12.75">
      <c r="B4" s="149" t="s">
        <v>14</v>
      </c>
      <c r="C4" s="157">
        <v>0</v>
      </c>
      <c r="D4" s="157">
        <v>0</v>
      </c>
      <c r="E4" s="157">
        <v>0.03</v>
      </c>
      <c r="F4" s="157">
        <v>0.03</v>
      </c>
      <c r="G4" s="157">
        <v>0.03</v>
      </c>
    </row>
    <row r="5" spans="2:7" ht="12.75">
      <c r="B5" s="149" t="s">
        <v>15</v>
      </c>
      <c r="C5" s="157">
        <v>0</v>
      </c>
      <c r="D5" s="157">
        <v>0.03</v>
      </c>
      <c r="E5" s="157">
        <v>0.03</v>
      </c>
      <c r="F5" s="157">
        <v>0.03</v>
      </c>
      <c r="G5" s="157">
        <v>0.03</v>
      </c>
    </row>
    <row r="6" spans="2:7" ht="12.75">
      <c r="B6" s="149" t="s">
        <v>16</v>
      </c>
      <c r="C6" s="157">
        <v>0</v>
      </c>
      <c r="D6" s="157">
        <v>0</v>
      </c>
      <c r="E6" s="157">
        <v>0</v>
      </c>
      <c r="F6" s="157">
        <v>0.02</v>
      </c>
      <c r="G6" s="157">
        <v>0.02</v>
      </c>
    </row>
    <row r="7" spans="2:7" ht="12.75">
      <c r="B7" s="149" t="s">
        <v>17</v>
      </c>
      <c r="C7" s="157">
        <v>0</v>
      </c>
      <c r="D7" s="157">
        <v>0</v>
      </c>
      <c r="E7" s="157">
        <v>0</v>
      </c>
      <c r="F7" s="157">
        <v>0</v>
      </c>
      <c r="G7" s="157">
        <v>0.025</v>
      </c>
    </row>
    <row r="8" spans="2:7" ht="12.75">
      <c r="B8" s="149" t="s">
        <v>19</v>
      </c>
      <c r="C8" s="157">
        <v>0</v>
      </c>
      <c r="D8" s="157">
        <v>0</v>
      </c>
      <c r="E8" s="157">
        <v>0</v>
      </c>
      <c r="F8" s="157">
        <v>0</v>
      </c>
      <c r="G8" s="156">
        <v>0.025</v>
      </c>
    </row>
    <row r="9" spans="2:7" ht="12.75">
      <c r="B9" s="149" t="s">
        <v>134</v>
      </c>
      <c r="C9" s="157">
        <v>0</v>
      </c>
      <c r="D9" s="157">
        <v>0</v>
      </c>
      <c r="E9" s="157">
        <v>0</v>
      </c>
      <c r="F9" s="156">
        <v>0.025</v>
      </c>
      <c r="G9" s="156">
        <v>0.025</v>
      </c>
    </row>
    <row r="10" spans="2:7" ht="12.75">
      <c r="B10" s="149" t="s">
        <v>21</v>
      </c>
      <c r="C10" s="157">
        <v>0.03</v>
      </c>
      <c r="D10" s="157">
        <v>0.03</v>
      </c>
      <c r="E10" s="157">
        <v>0.03</v>
      </c>
      <c r="F10" s="156">
        <v>0.04</v>
      </c>
      <c r="G10" s="156">
        <v>0.04</v>
      </c>
    </row>
    <row r="11" spans="2:8" ht="12.75">
      <c r="B11" s="149" t="s">
        <v>133</v>
      </c>
      <c r="C11" s="154">
        <v>533</v>
      </c>
      <c r="D11" s="154">
        <v>533</v>
      </c>
      <c r="E11" s="154">
        <v>533</v>
      </c>
      <c r="F11" s="154">
        <v>1865</v>
      </c>
      <c r="G11" s="154">
        <v>1865</v>
      </c>
      <c r="H11" s="178"/>
    </row>
    <row r="12" spans="2:7" ht="12.75">
      <c r="B12" s="149" t="s">
        <v>23</v>
      </c>
      <c r="C12" s="157">
        <v>0</v>
      </c>
      <c r="D12" s="157">
        <v>0.025</v>
      </c>
      <c r="E12" s="157">
        <v>0.025</v>
      </c>
      <c r="F12" s="156">
        <v>0.025</v>
      </c>
      <c r="G12" s="156">
        <v>0.025</v>
      </c>
    </row>
    <row r="13" spans="2:7" ht="12.75">
      <c r="B13" s="149" t="s">
        <v>24</v>
      </c>
      <c r="C13" s="157">
        <v>0.04</v>
      </c>
      <c r="D13" s="157">
        <v>0.04</v>
      </c>
      <c r="E13" s="157">
        <v>0.04</v>
      </c>
      <c r="F13" s="156">
        <v>0.06</v>
      </c>
      <c r="G13" s="156">
        <v>0.06</v>
      </c>
    </row>
    <row r="14" spans="3:7" ht="12.75">
      <c r="C14" s="157"/>
      <c r="D14" s="157"/>
      <c r="E14" s="157"/>
      <c r="F14" s="156"/>
      <c r="G14" s="156"/>
    </row>
    <row r="15" spans="2:7" ht="12.75">
      <c r="B15" s="152" t="s">
        <v>136</v>
      </c>
      <c r="C15" s="179">
        <v>59931</v>
      </c>
      <c r="D15" s="187">
        <v>0.9375</v>
      </c>
      <c r="E15" s="154"/>
      <c r="F15" s="154"/>
      <c r="G15" s="154"/>
    </row>
    <row r="16" spans="3:7" ht="12.75">
      <c r="C16" s="154"/>
      <c r="D16" s="154"/>
      <c r="E16" s="154"/>
      <c r="F16" s="154"/>
      <c r="G16" s="154"/>
    </row>
    <row r="17" spans="2:7" ht="12.75">
      <c r="B17" s="155" t="s">
        <v>135</v>
      </c>
      <c r="C17" s="154"/>
      <c r="D17" s="154"/>
      <c r="E17" s="154"/>
      <c r="F17" s="154"/>
      <c r="G17" s="154"/>
    </row>
    <row r="18" spans="2:7" ht="12.75">
      <c r="B18" s="149" t="s">
        <v>14</v>
      </c>
      <c r="C18" s="154">
        <f aca="true" t="shared" si="0" ref="C18:G24">+$C$15*C4</f>
        <v>0</v>
      </c>
      <c r="D18" s="154">
        <f t="shared" si="0"/>
        <v>0</v>
      </c>
      <c r="E18" s="154">
        <f t="shared" si="0"/>
        <v>1797.9299999999998</v>
      </c>
      <c r="F18" s="154">
        <f t="shared" si="0"/>
        <v>1797.9299999999998</v>
      </c>
      <c r="G18" s="154">
        <f t="shared" si="0"/>
        <v>1797.9299999999998</v>
      </c>
    </row>
    <row r="19" spans="2:7" ht="12.75">
      <c r="B19" s="149" t="s">
        <v>15</v>
      </c>
      <c r="C19" s="154">
        <f t="shared" si="0"/>
        <v>0</v>
      </c>
      <c r="D19" s="154">
        <f t="shared" si="0"/>
        <v>1797.9299999999998</v>
      </c>
      <c r="E19" s="154">
        <f t="shared" si="0"/>
        <v>1797.9299999999998</v>
      </c>
      <c r="F19" s="154">
        <f t="shared" si="0"/>
        <v>1797.9299999999998</v>
      </c>
      <c r="G19" s="154">
        <f t="shared" si="0"/>
        <v>1797.9299999999998</v>
      </c>
    </row>
    <row r="20" spans="2:7" ht="12.75">
      <c r="B20" s="149" t="s">
        <v>16</v>
      </c>
      <c r="C20" s="154">
        <f t="shared" si="0"/>
        <v>0</v>
      </c>
      <c r="D20" s="154">
        <f t="shared" si="0"/>
        <v>0</v>
      </c>
      <c r="E20" s="154">
        <f t="shared" si="0"/>
        <v>0</v>
      </c>
      <c r="F20" s="154">
        <f t="shared" si="0"/>
        <v>1198.6200000000001</v>
      </c>
      <c r="G20" s="154">
        <f t="shared" si="0"/>
        <v>1198.6200000000001</v>
      </c>
    </row>
    <row r="21" spans="2:7" ht="12.75">
      <c r="B21" s="149" t="s">
        <v>17</v>
      </c>
      <c r="C21" s="154">
        <f t="shared" si="0"/>
        <v>0</v>
      </c>
      <c r="D21" s="154">
        <f t="shared" si="0"/>
        <v>0</v>
      </c>
      <c r="E21" s="154">
        <f t="shared" si="0"/>
        <v>0</v>
      </c>
      <c r="F21" s="154">
        <f t="shared" si="0"/>
        <v>0</v>
      </c>
      <c r="G21" s="154">
        <f t="shared" si="0"/>
        <v>1498.275</v>
      </c>
    </row>
    <row r="22" spans="2:7" ht="12.75">
      <c r="B22" s="149" t="s">
        <v>19</v>
      </c>
      <c r="C22" s="154">
        <f t="shared" si="0"/>
        <v>0</v>
      </c>
      <c r="D22" s="154">
        <f t="shared" si="0"/>
        <v>0</v>
      </c>
      <c r="E22" s="154">
        <f t="shared" si="0"/>
        <v>0</v>
      </c>
      <c r="F22" s="154">
        <f t="shared" si="0"/>
        <v>0</v>
      </c>
      <c r="G22" s="154">
        <f t="shared" si="0"/>
        <v>1498.275</v>
      </c>
    </row>
    <row r="23" spans="2:7" ht="12.75">
      <c r="B23" s="149" t="s">
        <v>134</v>
      </c>
      <c r="C23" s="154">
        <f t="shared" si="0"/>
        <v>0</v>
      </c>
      <c r="D23" s="154">
        <f t="shared" si="0"/>
        <v>0</v>
      </c>
      <c r="E23" s="154">
        <f t="shared" si="0"/>
        <v>0</v>
      </c>
      <c r="F23" s="154">
        <f t="shared" si="0"/>
        <v>1498.275</v>
      </c>
      <c r="G23" s="154">
        <f t="shared" si="0"/>
        <v>1498.275</v>
      </c>
    </row>
    <row r="24" spans="2:7" ht="12.75">
      <c r="B24" s="149" t="s">
        <v>21</v>
      </c>
      <c r="C24" s="154">
        <f t="shared" si="0"/>
        <v>1797.9299999999998</v>
      </c>
      <c r="D24" s="154">
        <f t="shared" si="0"/>
        <v>1797.9299999999998</v>
      </c>
      <c r="E24" s="154">
        <f t="shared" si="0"/>
        <v>1797.9299999999998</v>
      </c>
      <c r="F24" s="154">
        <f t="shared" si="0"/>
        <v>2397.2400000000002</v>
      </c>
      <c r="G24" s="154">
        <f t="shared" si="0"/>
        <v>2397.2400000000002</v>
      </c>
    </row>
    <row r="25" spans="2:7" ht="12.75">
      <c r="B25" s="149" t="s">
        <v>133</v>
      </c>
      <c r="C25" s="154">
        <f>+C11</f>
        <v>533</v>
      </c>
      <c r="D25" s="154">
        <f>+D11</f>
        <v>533</v>
      </c>
      <c r="E25" s="154">
        <f>+E11</f>
        <v>533</v>
      </c>
      <c r="F25" s="154">
        <f>+F11</f>
        <v>1865</v>
      </c>
      <c r="G25" s="154">
        <f>+G11</f>
        <v>1865</v>
      </c>
    </row>
    <row r="26" spans="2:7" ht="12.75">
      <c r="B26" s="149" t="s">
        <v>23</v>
      </c>
      <c r="C26" s="154">
        <f aca="true" t="shared" si="1" ref="C26:G27">+$C$15*C12</f>
        <v>0</v>
      </c>
      <c r="D26" s="154">
        <f t="shared" si="1"/>
        <v>1498.275</v>
      </c>
      <c r="E26" s="154">
        <f t="shared" si="1"/>
        <v>1498.275</v>
      </c>
      <c r="F26" s="154">
        <f t="shared" si="1"/>
        <v>1498.275</v>
      </c>
      <c r="G26" s="154">
        <f t="shared" si="1"/>
        <v>1498.275</v>
      </c>
    </row>
    <row r="27" spans="2:7" ht="12.75">
      <c r="B27" s="149" t="s">
        <v>24</v>
      </c>
      <c r="C27" s="154">
        <f t="shared" si="1"/>
        <v>2397.2400000000002</v>
      </c>
      <c r="D27" s="154">
        <f t="shared" si="1"/>
        <v>2397.2400000000002</v>
      </c>
      <c r="E27" s="154">
        <f t="shared" si="1"/>
        <v>2397.2400000000002</v>
      </c>
      <c r="F27" s="154">
        <f t="shared" si="1"/>
        <v>3595.8599999999997</v>
      </c>
      <c r="G27" s="154">
        <f t="shared" si="1"/>
        <v>3595.8599999999997</v>
      </c>
    </row>
    <row r="28" spans="2:7" ht="12.75">
      <c r="B28" s="149" t="s">
        <v>132</v>
      </c>
      <c r="C28" s="153">
        <f>SUM(C18:C27)</f>
        <v>4728.17</v>
      </c>
      <c r="D28" s="153">
        <f>SUM(D18:D27)</f>
        <v>8024.375</v>
      </c>
      <c r="E28" s="153">
        <f>SUM(E18:E27)</f>
        <v>9822.304999999998</v>
      </c>
      <c r="F28" s="153">
        <f>SUM(F18:F27)</f>
        <v>15649.129999999997</v>
      </c>
      <c r="G28" s="153">
        <f>SUM(G18:G27)</f>
        <v>18645.679999999997</v>
      </c>
    </row>
    <row r="29" spans="2:7" ht="12.75">
      <c r="B29" s="152" t="s">
        <v>131</v>
      </c>
      <c r="C29" s="151">
        <f>+C28/10</f>
        <v>472.817</v>
      </c>
      <c r="D29" s="151">
        <f>+D28/10</f>
        <v>802.4375</v>
      </c>
      <c r="E29" s="151">
        <f>+E28/10</f>
        <v>982.2304999999999</v>
      </c>
      <c r="F29" s="151">
        <f>+F28/10</f>
        <v>1564.9129999999998</v>
      </c>
      <c r="G29" s="151">
        <f>+G28/10</f>
        <v>1864.5679999999998</v>
      </c>
    </row>
    <row r="30" spans="3:5" ht="12.75">
      <c r="C30" s="150"/>
      <c r="D30" s="150"/>
      <c r="E30" s="150"/>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G17" sqref="G17"/>
    </sheetView>
  </sheetViews>
  <sheetFormatPr defaultColWidth="9.14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workbookViewId="0" topLeftCell="A1">
      <selection activeCell="G12" sqref="G12"/>
    </sheetView>
  </sheetViews>
  <sheetFormatPr defaultColWidth="9.140625" defaultRowHeight="12.75"/>
  <cols>
    <col min="1" max="1" width="18.140625" style="0" customWidth="1"/>
    <col min="2" max="3" width="6.8515625" style="0" customWidth="1"/>
    <col min="4" max="19" width="6.57421875" style="0" customWidth="1"/>
    <col min="20" max="20" width="9.28125" style="0" customWidth="1"/>
    <col min="21" max="21" width="2.7109375" style="0" customWidth="1"/>
  </cols>
  <sheetData>
    <row r="1" spans="1:19" ht="14.25">
      <c r="A1" s="200" t="s">
        <v>123</v>
      </c>
      <c r="B1" s="201"/>
      <c r="C1" s="201"/>
      <c r="D1" s="201"/>
      <c r="E1" s="201"/>
      <c r="F1" s="201"/>
      <c r="G1" s="201"/>
      <c r="H1" s="201"/>
      <c r="I1" s="201"/>
      <c r="J1" s="201"/>
      <c r="K1" s="201"/>
      <c r="L1" s="201"/>
      <c r="M1" s="201"/>
      <c r="N1" s="201"/>
      <c r="O1" s="208"/>
      <c r="P1" s="208"/>
      <c r="Q1" s="208"/>
      <c r="R1" s="208"/>
      <c r="S1" s="208"/>
    </row>
    <row r="2" spans="1:19" ht="12.75">
      <c r="A2" s="200" t="s">
        <v>94</v>
      </c>
      <c r="B2" s="201"/>
      <c r="C2" s="201"/>
      <c r="D2" s="201"/>
      <c r="E2" s="201"/>
      <c r="F2" s="201"/>
      <c r="G2" s="201"/>
      <c r="H2" s="201"/>
      <c r="I2" s="201"/>
      <c r="J2" s="201"/>
      <c r="K2" s="201"/>
      <c r="L2" s="201"/>
      <c r="M2" s="201"/>
      <c r="N2" s="201"/>
      <c r="O2" s="208"/>
      <c r="P2" s="208"/>
      <c r="Q2" s="208"/>
      <c r="R2" s="208"/>
      <c r="S2" s="208"/>
    </row>
    <row r="3" spans="2:20" ht="17.25" customHeight="1">
      <c r="B3" s="103"/>
      <c r="C3" s="103"/>
      <c r="D3" s="103"/>
      <c r="E3" s="103"/>
      <c r="F3" s="103"/>
      <c r="G3" s="103"/>
      <c r="H3" s="103"/>
      <c r="I3" s="103"/>
      <c r="J3" s="103"/>
      <c r="K3" s="102"/>
      <c r="L3" s="102"/>
      <c r="M3" s="102"/>
      <c r="N3" s="102"/>
      <c r="O3" s="198"/>
      <c r="P3" s="209"/>
      <c r="Q3" s="209"/>
      <c r="R3" s="198" t="s">
        <v>128</v>
      </c>
      <c r="S3" s="209"/>
      <c r="T3" s="209"/>
    </row>
    <row r="4" spans="1:20" ht="41.25" customHeight="1">
      <c r="A4" s="11" t="s">
        <v>18</v>
      </c>
      <c r="B4" s="26" t="s">
        <v>8</v>
      </c>
      <c r="C4" s="26" t="s">
        <v>7</v>
      </c>
      <c r="D4" s="26" t="s">
        <v>6</v>
      </c>
      <c r="E4" s="26" t="s">
        <v>5</v>
      </c>
      <c r="F4" s="26" t="s">
        <v>4</v>
      </c>
      <c r="G4" s="26" t="s">
        <v>3</v>
      </c>
      <c r="H4" s="26" t="s">
        <v>2</v>
      </c>
      <c r="I4" s="26" t="s">
        <v>1</v>
      </c>
      <c r="J4" s="26" t="s">
        <v>28</v>
      </c>
      <c r="K4" s="26" t="s">
        <v>32</v>
      </c>
      <c r="L4" s="40" t="s">
        <v>86</v>
      </c>
      <c r="M4" s="41" t="s">
        <v>87</v>
      </c>
      <c r="N4" s="41" t="s">
        <v>102</v>
      </c>
      <c r="O4" s="228" t="s">
        <v>101</v>
      </c>
      <c r="P4" s="226"/>
      <c r="Q4" s="226"/>
      <c r="R4" s="226"/>
      <c r="S4" s="226"/>
      <c r="T4" s="227"/>
    </row>
    <row r="5" spans="1:22" ht="37.5" customHeight="1">
      <c r="A5" s="25" t="s">
        <v>99</v>
      </c>
      <c r="B5" s="38">
        <v>19.4</v>
      </c>
      <c r="C5" s="38">
        <v>20.36</v>
      </c>
      <c r="D5" s="38">
        <v>21.33</v>
      </c>
      <c r="E5" s="38">
        <v>22.29</v>
      </c>
      <c r="F5" s="38">
        <v>23.3</v>
      </c>
      <c r="G5" s="38">
        <v>24.45</v>
      </c>
      <c r="H5" s="38">
        <v>25.68</v>
      </c>
      <c r="I5" s="38">
        <f>+H5</f>
        <v>25.68</v>
      </c>
      <c r="J5" s="38">
        <f>+I5</f>
        <v>25.68</v>
      </c>
      <c r="K5" s="99">
        <f>+J5*1.03</f>
        <v>26.450400000000002</v>
      </c>
      <c r="L5" s="99">
        <f>+I5*1.06</f>
        <v>27.2208</v>
      </c>
      <c r="M5" s="38">
        <f aca="true" t="shared" si="0" ref="M5:N13">+L5</f>
        <v>27.2208</v>
      </c>
      <c r="N5" s="38">
        <f t="shared" si="0"/>
        <v>27.2208</v>
      </c>
      <c r="O5" s="219" t="s">
        <v>40</v>
      </c>
      <c r="P5" s="230"/>
      <c r="Q5" s="230"/>
      <c r="R5" s="230"/>
      <c r="S5" s="230"/>
      <c r="T5" s="231"/>
      <c r="U5" s="17"/>
      <c r="V5" s="17"/>
    </row>
    <row r="6" spans="1:22" ht="23.25" customHeight="1">
      <c r="A6" s="42" t="s">
        <v>106</v>
      </c>
      <c r="B6" s="38">
        <v>18.68</v>
      </c>
      <c r="C6" s="38">
        <v>19.61</v>
      </c>
      <c r="D6" s="38">
        <v>20.6</v>
      </c>
      <c r="E6" s="38">
        <v>21.64</v>
      </c>
      <c r="F6" s="38">
        <v>22.74</v>
      </c>
      <c r="G6" s="38">
        <f>+F6</f>
        <v>22.74</v>
      </c>
      <c r="H6" s="38">
        <f>+G6</f>
        <v>22.74</v>
      </c>
      <c r="I6" s="38">
        <f>+H6</f>
        <v>22.74</v>
      </c>
      <c r="J6" s="99">
        <f>+I6*1.03</f>
        <v>23.4222</v>
      </c>
      <c r="K6" s="38">
        <f>+J6</f>
        <v>23.4222</v>
      </c>
      <c r="L6" s="99">
        <f>+I6*1.09</f>
        <v>24.7866</v>
      </c>
      <c r="M6" s="38">
        <f t="shared" si="0"/>
        <v>24.7866</v>
      </c>
      <c r="N6" s="38">
        <f t="shared" si="0"/>
        <v>24.7866</v>
      </c>
      <c r="O6" s="219" t="s">
        <v>89</v>
      </c>
      <c r="P6" s="220"/>
      <c r="Q6" s="220"/>
      <c r="R6" s="220"/>
      <c r="S6" s="220"/>
      <c r="T6" s="221"/>
      <c r="U6" s="17"/>
      <c r="V6" s="17"/>
    </row>
    <row r="7" spans="1:22" s="43" customFormat="1" ht="23.25" customHeight="1">
      <c r="A7" s="25" t="s">
        <v>108</v>
      </c>
      <c r="B7" s="112">
        <v>20.46</v>
      </c>
      <c r="C7" s="112">
        <v>21.5</v>
      </c>
      <c r="D7" s="112">
        <v>22.59</v>
      </c>
      <c r="E7" s="112">
        <v>23.73</v>
      </c>
      <c r="F7" s="112">
        <v>24.93</v>
      </c>
      <c r="G7" s="112">
        <v>26.2</v>
      </c>
      <c r="H7" s="112">
        <f>+G7</f>
        <v>26.2</v>
      </c>
      <c r="I7" s="112">
        <f>+G7</f>
        <v>26.2</v>
      </c>
      <c r="J7" s="112">
        <f>+G7</f>
        <v>26.2</v>
      </c>
      <c r="K7" s="129">
        <f>+J7*1.02</f>
        <v>26.724</v>
      </c>
      <c r="L7" s="129">
        <f>+K7*1.04</f>
        <v>27.79296</v>
      </c>
      <c r="M7" s="112">
        <f>+L7</f>
        <v>27.79296</v>
      </c>
      <c r="N7" s="112">
        <f>+M7</f>
        <v>27.79296</v>
      </c>
      <c r="O7" s="219" t="s">
        <v>91</v>
      </c>
      <c r="P7" s="232"/>
      <c r="Q7" s="232"/>
      <c r="R7" s="232"/>
      <c r="S7" s="232"/>
      <c r="T7" s="233"/>
      <c r="U7" s="17" t="s">
        <v>79</v>
      </c>
      <c r="V7" s="120" t="s">
        <v>92</v>
      </c>
    </row>
    <row r="8" spans="1:22" ht="34.5" customHeight="1">
      <c r="A8" s="125" t="s">
        <v>107</v>
      </c>
      <c r="B8" s="38">
        <v>24.6</v>
      </c>
      <c r="C8" s="38">
        <v>25.71</v>
      </c>
      <c r="D8" s="38">
        <v>26.88</v>
      </c>
      <c r="E8" s="38">
        <v>28.1</v>
      </c>
      <c r="F8" s="38">
        <v>29.39</v>
      </c>
      <c r="G8" s="38">
        <f>+F8</f>
        <v>29.39</v>
      </c>
      <c r="H8" s="38">
        <f>+G8</f>
        <v>29.39</v>
      </c>
      <c r="I8" s="38">
        <f aca="true" t="shared" si="1" ref="I8:J10">+H8</f>
        <v>29.39</v>
      </c>
      <c r="J8" s="38">
        <f t="shared" si="1"/>
        <v>29.39</v>
      </c>
      <c r="K8" s="38">
        <v>29.39</v>
      </c>
      <c r="L8" s="99">
        <v>32.11</v>
      </c>
      <c r="M8" s="38">
        <f t="shared" si="0"/>
        <v>32.11</v>
      </c>
      <c r="N8" s="38">
        <f t="shared" si="0"/>
        <v>32.11</v>
      </c>
      <c r="O8" s="219" t="s">
        <v>109</v>
      </c>
      <c r="P8" s="220"/>
      <c r="Q8" s="220"/>
      <c r="R8" s="220"/>
      <c r="S8" s="220"/>
      <c r="T8" s="221"/>
      <c r="U8" s="122"/>
      <c r="V8" s="17"/>
    </row>
    <row r="9" spans="1:22" ht="24.75" customHeight="1">
      <c r="A9" s="25" t="s">
        <v>112</v>
      </c>
      <c r="B9" s="38">
        <v>16.32</v>
      </c>
      <c r="C9" s="38">
        <v>17.14</v>
      </c>
      <c r="D9" s="38">
        <v>18.02</v>
      </c>
      <c r="E9" s="38">
        <v>18.91</v>
      </c>
      <c r="F9" s="38">
        <v>19.88</v>
      </c>
      <c r="G9" s="38">
        <v>20.89</v>
      </c>
      <c r="H9" s="38">
        <f>+G9</f>
        <v>20.89</v>
      </c>
      <c r="I9" s="38">
        <f t="shared" si="1"/>
        <v>20.89</v>
      </c>
      <c r="J9" s="38">
        <f t="shared" si="1"/>
        <v>20.89</v>
      </c>
      <c r="K9" s="38">
        <f>+J9</f>
        <v>20.89</v>
      </c>
      <c r="L9" s="99">
        <f>+K9*1.075</f>
        <v>22.45675</v>
      </c>
      <c r="M9" s="38">
        <f t="shared" si="0"/>
        <v>22.45675</v>
      </c>
      <c r="N9" s="38">
        <f t="shared" si="0"/>
        <v>22.45675</v>
      </c>
      <c r="O9" s="219" t="s">
        <v>113</v>
      </c>
      <c r="P9" s="220"/>
      <c r="Q9" s="220"/>
      <c r="R9" s="220"/>
      <c r="S9" s="220"/>
      <c r="T9" s="221"/>
      <c r="U9" s="17"/>
      <c r="V9" s="123"/>
    </row>
    <row r="10" spans="1:23" s="43" customFormat="1" ht="30" customHeight="1">
      <c r="A10" s="25" t="s">
        <v>116</v>
      </c>
      <c r="B10" s="112">
        <v>15.61</v>
      </c>
      <c r="C10" s="112">
        <v>16.39</v>
      </c>
      <c r="D10" s="112">
        <v>17.21</v>
      </c>
      <c r="E10" s="112">
        <v>18.07</v>
      </c>
      <c r="F10" s="112">
        <v>18.97</v>
      </c>
      <c r="G10" s="112">
        <v>19.92</v>
      </c>
      <c r="H10" s="112">
        <f>+G10</f>
        <v>19.92</v>
      </c>
      <c r="I10" s="112">
        <f t="shared" si="1"/>
        <v>19.92</v>
      </c>
      <c r="J10" s="112">
        <f t="shared" si="1"/>
        <v>19.92</v>
      </c>
      <c r="K10" s="129">
        <f>+J10*1.025</f>
        <v>20.418</v>
      </c>
      <c r="L10" s="129">
        <f>+K10*1.025*1.025</f>
        <v>21.451661249999997</v>
      </c>
      <c r="M10" s="112">
        <f aca="true" t="shared" si="2" ref="M10:N12">+L10</f>
        <v>21.451661249999997</v>
      </c>
      <c r="N10" s="112">
        <f t="shared" si="2"/>
        <v>21.451661249999997</v>
      </c>
      <c r="O10" s="219" t="s">
        <v>41</v>
      </c>
      <c r="P10" s="232"/>
      <c r="Q10" s="232"/>
      <c r="R10" s="232"/>
      <c r="S10" s="232"/>
      <c r="T10" s="233"/>
      <c r="U10" s="17"/>
      <c r="V10" s="229" t="s">
        <v>117</v>
      </c>
      <c r="W10" s="229"/>
    </row>
    <row r="11" spans="1:23" ht="30.75" customHeight="1">
      <c r="A11" s="25" t="s">
        <v>118</v>
      </c>
      <c r="B11" s="38">
        <v>20.89</v>
      </c>
      <c r="C11" s="38">
        <v>21.9</v>
      </c>
      <c r="D11" s="38">
        <v>23.07</v>
      </c>
      <c r="E11" s="38">
        <v>24.23</v>
      </c>
      <c r="F11" s="38">
        <v>25.47</v>
      </c>
      <c r="G11" s="99">
        <f>+F11*1.03</f>
        <v>26.234099999999998</v>
      </c>
      <c r="H11" s="38">
        <f aca="true" t="shared" si="3" ref="H11:K12">+G11</f>
        <v>26.234099999999998</v>
      </c>
      <c r="I11" s="38">
        <f t="shared" si="3"/>
        <v>26.234099999999998</v>
      </c>
      <c r="J11" s="38">
        <f t="shared" si="3"/>
        <v>26.234099999999998</v>
      </c>
      <c r="K11" s="38">
        <f t="shared" si="3"/>
        <v>26.234099999999998</v>
      </c>
      <c r="L11" s="99">
        <f>+F11*1.06</f>
        <v>26.9982</v>
      </c>
      <c r="M11" s="110">
        <f t="shared" si="2"/>
        <v>26.9982</v>
      </c>
      <c r="N11" s="110">
        <f t="shared" si="2"/>
        <v>26.9982</v>
      </c>
      <c r="O11" s="219" t="s">
        <v>42</v>
      </c>
      <c r="P11" s="220"/>
      <c r="Q11" s="220"/>
      <c r="R11" s="220"/>
      <c r="S11" s="220"/>
      <c r="T11" s="221"/>
      <c r="U11" s="17"/>
      <c r="V11" s="229" t="s">
        <v>117</v>
      </c>
      <c r="W11" s="229"/>
    </row>
    <row r="12" spans="1:22" ht="39" customHeight="1">
      <c r="A12" s="25" t="s">
        <v>122</v>
      </c>
      <c r="B12" s="38">
        <f>31595/1950</f>
        <v>16.202564102564104</v>
      </c>
      <c r="C12" s="38">
        <f>32968/1950</f>
        <v>16.906666666666666</v>
      </c>
      <c r="D12" s="38">
        <f>34484/1950</f>
        <v>17.684102564102563</v>
      </c>
      <c r="E12" s="38">
        <f>36018/1950</f>
        <v>18.470769230769232</v>
      </c>
      <c r="F12" s="38">
        <f>37620/1950</f>
        <v>19.29230769230769</v>
      </c>
      <c r="G12" s="99">
        <f>+F12+(533/1950)</f>
        <v>19.565641025641025</v>
      </c>
      <c r="H12" s="38">
        <f t="shared" si="3"/>
        <v>19.565641025641025</v>
      </c>
      <c r="I12" s="38">
        <f t="shared" si="3"/>
        <v>19.565641025641025</v>
      </c>
      <c r="J12" s="38">
        <f t="shared" si="3"/>
        <v>19.565641025641025</v>
      </c>
      <c r="K12" s="38">
        <f t="shared" si="3"/>
        <v>19.565641025641025</v>
      </c>
      <c r="L12" s="99">
        <f>+$F12+(2265/1950)</f>
        <v>20.453846153846154</v>
      </c>
      <c r="M12" s="110">
        <f t="shared" si="2"/>
        <v>20.453846153846154</v>
      </c>
      <c r="N12" s="110">
        <f t="shared" si="2"/>
        <v>20.453846153846154</v>
      </c>
      <c r="O12" s="222" t="s">
        <v>96</v>
      </c>
      <c r="P12" s="223"/>
      <c r="Q12" s="223"/>
      <c r="R12" s="223"/>
      <c r="S12" s="223"/>
      <c r="T12" s="224"/>
      <c r="U12" s="17"/>
      <c r="V12" s="16" t="s">
        <v>85</v>
      </c>
    </row>
    <row r="13" spans="1:23" ht="37.5" customHeight="1">
      <c r="A13" s="25" t="s">
        <v>126</v>
      </c>
      <c r="B13" s="38">
        <v>21.69</v>
      </c>
      <c r="C13" s="38">
        <v>22.78</v>
      </c>
      <c r="D13" s="38">
        <v>23.93</v>
      </c>
      <c r="E13" s="38">
        <v>25.13</v>
      </c>
      <c r="F13" s="38">
        <v>26.38</v>
      </c>
      <c r="G13" s="38">
        <f>+F13</f>
        <v>26.38</v>
      </c>
      <c r="H13" s="38">
        <f>+G13</f>
        <v>26.38</v>
      </c>
      <c r="I13" s="99">
        <f>+H13*1.025</f>
        <v>27.039499999999997</v>
      </c>
      <c r="J13" s="38">
        <f>+I13</f>
        <v>27.039499999999997</v>
      </c>
      <c r="K13" s="38">
        <f>+J13</f>
        <v>27.039499999999997</v>
      </c>
      <c r="L13" s="99">
        <f>+$G$13*1.075</f>
        <v>28.3585</v>
      </c>
      <c r="M13" s="38">
        <f t="shared" si="0"/>
        <v>28.3585</v>
      </c>
      <c r="N13" s="99">
        <f>+$G$13*1.1</f>
        <v>29.018</v>
      </c>
      <c r="O13" s="219" t="s">
        <v>43</v>
      </c>
      <c r="P13" s="220"/>
      <c r="Q13" s="220"/>
      <c r="R13" s="220"/>
      <c r="S13" s="220"/>
      <c r="T13" s="221"/>
      <c r="U13" s="17"/>
      <c r="V13" s="229" t="s">
        <v>129</v>
      </c>
      <c r="W13" s="229"/>
    </row>
    <row r="14" spans="1:21" ht="33.75" customHeight="1">
      <c r="A14" s="25" t="s">
        <v>120</v>
      </c>
      <c r="B14" s="38">
        <v>19.37</v>
      </c>
      <c r="C14" s="38">
        <v>20.34</v>
      </c>
      <c r="D14" s="38">
        <v>21.36</v>
      </c>
      <c r="E14" s="38">
        <v>22.43</v>
      </c>
      <c r="F14" s="38">
        <v>23.55</v>
      </c>
      <c r="G14" s="99">
        <f>24.73*1.04</f>
        <v>25.7192</v>
      </c>
      <c r="H14" s="38">
        <f>+G14</f>
        <v>25.7192</v>
      </c>
      <c r="I14" s="38">
        <f>+H14</f>
        <v>25.7192</v>
      </c>
      <c r="J14" s="38">
        <f>+I14</f>
        <v>25.7192</v>
      </c>
      <c r="K14" s="99">
        <f>24.73*1.06</f>
        <v>26.213800000000003</v>
      </c>
      <c r="L14" s="99">
        <f>24.73*1.1</f>
        <v>27.203000000000003</v>
      </c>
      <c r="M14" s="110">
        <f>+L14</f>
        <v>27.203000000000003</v>
      </c>
      <c r="N14" s="110">
        <f>+M14</f>
        <v>27.203000000000003</v>
      </c>
      <c r="O14" s="219" t="s">
        <v>44</v>
      </c>
      <c r="P14" s="220"/>
      <c r="Q14" s="220"/>
      <c r="R14" s="220"/>
      <c r="S14" s="220"/>
      <c r="T14" s="221"/>
      <c r="U14" s="17"/>
    </row>
    <row r="15" spans="1:20" ht="13.5">
      <c r="A15" s="44" t="s">
        <v>0</v>
      </c>
      <c r="B15" s="45">
        <f>SUM(B5:B14)</f>
        <v>193.22256410256412</v>
      </c>
      <c r="C15" s="45">
        <f aca="true" t="shared" si="4" ref="C15:N15">SUM(C5:C14)</f>
        <v>202.63666666666668</v>
      </c>
      <c r="D15" s="45">
        <f t="shared" si="4"/>
        <v>212.67410256410255</v>
      </c>
      <c r="E15" s="45">
        <f t="shared" si="4"/>
        <v>223.0007692307692</v>
      </c>
      <c r="F15" s="45">
        <f t="shared" si="4"/>
        <v>233.9023076923077</v>
      </c>
      <c r="G15" s="45">
        <f t="shared" si="4"/>
        <v>241.488941025641</v>
      </c>
      <c r="H15" s="45">
        <f t="shared" si="4"/>
        <v>242.71894102564102</v>
      </c>
      <c r="I15" s="45">
        <f t="shared" si="4"/>
        <v>243.37844102564102</v>
      </c>
      <c r="J15" s="45">
        <f t="shared" si="4"/>
        <v>244.06064102564105</v>
      </c>
      <c r="K15" s="46">
        <f t="shared" si="4"/>
        <v>246.34764102564102</v>
      </c>
      <c r="L15" s="46">
        <f>SUM(L5:L14)</f>
        <v>258.83231740384616</v>
      </c>
      <c r="M15" s="46">
        <f>SUM(M5:M14)</f>
        <v>258.83231740384616</v>
      </c>
      <c r="N15" s="46">
        <f t="shared" si="4"/>
        <v>259.4918174038462</v>
      </c>
      <c r="O15" s="225"/>
      <c r="P15" s="226"/>
      <c r="Q15" s="226"/>
      <c r="R15" s="226"/>
      <c r="S15" s="226"/>
      <c r="T15" s="227"/>
    </row>
    <row r="16" spans="1:20" ht="13.5">
      <c r="A16" s="11" t="s">
        <v>45</v>
      </c>
      <c r="B16" s="47">
        <f>B15/10</f>
        <v>19.32225641025641</v>
      </c>
      <c r="C16" s="47">
        <f aca="true" t="shared" si="5" ref="C16:M16">C15/10</f>
        <v>20.26366666666667</v>
      </c>
      <c r="D16" s="47">
        <f t="shared" si="5"/>
        <v>21.267410256410255</v>
      </c>
      <c r="E16" s="47">
        <f t="shared" si="5"/>
        <v>22.300076923076922</v>
      </c>
      <c r="F16" s="47">
        <f t="shared" si="5"/>
        <v>23.39023076923077</v>
      </c>
      <c r="G16" s="47">
        <f t="shared" si="5"/>
        <v>24.1488941025641</v>
      </c>
      <c r="H16" s="47">
        <f t="shared" si="5"/>
        <v>24.2718941025641</v>
      </c>
      <c r="I16" s="47">
        <f t="shared" si="5"/>
        <v>24.3378441025641</v>
      </c>
      <c r="J16" s="47">
        <f t="shared" si="5"/>
        <v>24.406064102564105</v>
      </c>
      <c r="K16" s="48">
        <f t="shared" si="5"/>
        <v>24.6347641025641</v>
      </c>
      <c r="L16" s="48">
        <f t="shared" si="5"/>
        <v>25.883231740384616</v>
      </c>
      <c r="M16" s="48">
        <f t="shared" si="5"/>
        <v>25.883231740384616</v>
      </c>
      <c r="N16" s="48">
        <f>N15/10</f>
        <v>25.94918174038462</v>
      </c>
      <c r="O16" s="225"/>
      <c r="P16" s="226"/>
      <c r="Q16" s="226"/>
      <c r="R16" s="226"/>
      <c r="S16" s="226"/>
      <c r="T16" s="227"/>
    </row>
    <row r="17" spans="1:20" ht="13.5">
      <c r="A17" s="49" t="s">
        <v>46</v>
      </c>
      <c r="B17" s="32">
        <f>B16*2080</f>
        <v>40190.293333333335</v>
      </c>
      <c r="C17" s="32">
        <f aca="true" t="shared" si="6" ref="C17:N17">C16*2080</f>
        <v>42148.42666666667</v>
      </c>
      <c r="D17" s="32">
        <f t="shared" si="6"/>
        <v>44236.21333333333</v>
      </c>
      <c r="E17" s="32">
        <f t="shared" si="6"/>
        <v>46384.159999999996</v>
      </c>
      <c r="F17" s="32">
        <f t="shared" si="6"/>
        <v>48651.68</v>
      </c>
      <c r="G17" s="32">
        <f t="shared" si="6"/>
        <v>50229.69973333333</v>
      </c>
      <c r="H17" s="32">
        <f t="shared" si="6"/>
        <v>50485.53973333333</v>
      </c>
      <c r="I17" s="32">
        <f t="shared" si="6"/>
        <v>50622.71573333333</v>
      </c>
      <c r="J17" s="32">
        <f t="shared" si="6"/>
        <v>50764.61333333334</v>
      </c>
      <c r="K17" s="32">
        <f t="shared" si="6"/>
        <v>51240.30933333333</v>
      </c>
      <c r="L17" s="32">
        <f t="shared" si="6"/>
        <v>53837.12202</v>
      </c>
      <c r="M17" s="50">
        <f t="shared" si="6"/>
        <v>53837.12202</v>
      </c>
      <c r="N17" s="50">
        <f t="shared" si="6"/>
        <v>53974.29802000001</v>
      </c>
      <c r="O17" s="225"/>
      <c r="P17" s="226"/>
      <c r="Q17" s="226"/>
      <c r="R17" s="226"/>
      <c r="S17" s="226"/>
      <c r="T17" s="227"/>
    </row>
    <row r="18" spans="1:19" ht="12.75">
      <c r="A18" s="21"/>
      <c r="B18" s="21"/>
      <c r="C18" s="21"/>
      <c r="D18" s="21"/>
      <c r="E18" s="21"/>
      <c r="F18" s="21"/>
      <c r="G18" s="21"/>
      <c r="H18" s="21"/>
      <c r="I18" s="21"/>
      <c r="J18" s="21"/>
      <c r="K18" s="21"/>
      <c r="L18" s="21"/>
      <c r="M18" s="21"/>
      <c r="N18" s="21"/>
      <c r="O18" s="21"/>
      <c r="P18" s="21"/>
      <c r="Q18" s="21"/>
      <c r="R18" s="21"/>
      <c r="S18" s="21"/>
    </row>
    <row r="19" spans="1:6" ht="12.75">
      <c r="A19" s="207" t="s">
        <v>30</v>
      </c>
      <c r="B19" s="208"/>
      <c r="C19" s="208"/>
      <c r="D19" s="208"/>
      <c r="E19" s="208"/>
      <c r="F19" s="208"/>
    </row>
    <row r="20" spans="1:19" ht="12.75">
      <c r="A20" s="21"/>
      <c r="B20" s="21"/>
      <c r="C20" s="21"/>
      <c r="D20" s="21"/>
      <c r="E20" s="21"/>
      <c r="F20" s="21"/>
      <c r="G20" s="21"/>
      <c r="H20" s="21"/>
      <c r="I20" s="207"/>
      <c r="J20" s="208"/>
      <c r="K20" s="208"/>
      <c r="L20" s="208"/>
      <c r="M20" s="208"/>
      <c r="N20" s="208"/>
      <c r="O20" s="208"/>
      <c r="P20" s="21"/>
      <c r="Q20" s="21"/>
      <c r="R20" s="118"/>
      <c r="S20" s="21"/>
    </row>
    <row r="21" spans="1:18" ht="12.75" customHeight="1">
      <c r="A21" s="218" t="s">
        <v>77</v>
      </c>
      <c r="B21" s="196"/>
      <c r="C21" s="196"/>
      <c r="D21" s="196"/>
      <c r="E21" s="196"/>
      <c r="F21" s="196"/>
      <c r="G21" s="196"/>
      <c r="H21" s="196"/>
      <c r="I21" s="196"/>
      <c r="J21" s="196"/>
      <c r="K21" s="196"/>
      <c r="L21" s="196"/>
      <c r="M21" s="196"/>
      <c r="N21" s="196"/>
      <c r="O21" s="196"/>
      <c r="P21" s="196"/>
      <c r="Q21" s="196"/>
      <c r="R21" s="118"/>
    </row>
    <row r="23" spans="1:15" ht="14.25">
      <c r="A23" s="132"/>
      <c r="B23" s="59"/>
      <c r="C23" s="59"/>
      <c r="D23" s="52"/>
      <c r="E23" s="52"/>
      <c r="F23" s="52"/>
      <c r="G23" s="52"/>
      <c r="H23" s="52"/>
      <c r="I23" s="52"/>
      <c r="J23" s="52"/>
      <c r="K23" s="133"/>
      <c r="L23" s="134"/>
      <c r="M23" s="134"/>
      <c r="N23" s="135"/>
      <c r="O23" s="52"/>
    </row>
    <row r="24" spans="1:15" ht="13.5">
      <c r="A24" s="136"/>
      <c r="B24" s="137"/>
      <c r="C24" s="137"/>
      <c r="D24" s="137"/>
      <c r="E24" s="137"/>
      <c r="F24" s="137"/>
      <c r="G24" s="137"/>
      <c r="H24" s="137"/>
      <c r="I24" s="137"/>
      <c r="J24" s="137"/>
      <c r="K24" s="137"/>
      <c r="L24" s="137"/>
      <c r="M24" s="137"/>
      <c r="N24" s="137"/>
      <c r="O24" s="52"/>
    </row>
    <row r="25" spans="1:15" ht="13.5">
      <c r="A25" s="136"/>
      <c r="B25" s="137"/>
      <c r="C25" s="137"/>
      <c r="D25" s="137"/>
      <c r="E25" s="137"/>
      <c r="F25" s="137"/>
      <c r="G25" s="137"/>
      <c r="H25" s="137"/>
      <c r="I25" s="137"/>
      <c r="J25" s="137"/>
      <c r="K25" s="137"/>
      <c r="L25" s="137"/>
      <c r="M25" s="137"/>
      <c r="N25" s="137"/>
      <c r="O25" s="52"/>
    </row>
    <row r="26" spans="1:16" ht="15.75">
      <c r="A26" s="138"/>
      <c r="B26" s="52"/>
      <c r="C26" s="52"/>
      <c r="D26" s="52"/>
      <c r="E26" s="52"/>
      <c r="F26" s="52"/>
      <c r="G26" s="52"/>
      <c r="H26" s="52"/>
      <c r="I26" s="52"/>
      <c r="J26" s="52"/>
      <c r="K26" s="52"/>
      <c r="L26" s="52"/>
      <c r="M26" s="52"/>
      <c r="N26" s="52"/>
      <c r="O26" s="52"/>
      <c r="P26" s="52"/>
    </row>
    <row r="27" spans="1:16" ht="13.5">
      <c r="A27" s="139"/>
      <c r="B27" s="52"/>
      <c r="C27" s="52"/>
      <c r="D27" s="52"/>
      <c r="E27" s="52"/>
      <c r="F27" s="52"/>
      <c r="G27" s="52"/>
      <c r="H27" s="52"/>
      <c r="I27" s="52"/>
      <c r="J27" s="52"/>
      <c r="K27" s="52"/>
      <c r="L27" s="52"/>
      <c r="M27" s="52"/>
      <c r="N27" s="52"/>
      <c r="O27" s="52"/>
      <c r="P27" s="54"/>
    </row>
  </sheetData>
  <mergeCells count="22">
    <mergeCell ref="V10:W10"/>
    <mergeCell ref="V11:W11"/>
    <mergeCell ref="V13:W13"/>
    <mergeCell ref="O5:T5"/>
    <mergeCell ref="O6:T6"/>
    <mergeCell ref="O7:T7"/>
    <mergeCell ref="O10:T10"/>
    <mergeCell ref="O9:T9"/>
    <mergeCell ref="O3:Q3"/>
    <mergeCell ref="A1:S1"/>
    <mergeCell ref="A2:S2"/>
    <mergeCell ref="O4:T4"/>
    <mergeCell ref="R3:T3"/>
    <mergeCell ref="A21:Q21"/>
    <mergeCell ref="O8:T8"/>
    <mergeCell ref="O12:T12"/>
    <mergeCell ref="O13:T13"/>
    <mergeCell ref="O14:T14"/>
    <mergeCell ref="O15:T17"/>
    <mergeCell ref="I20:O20"/>
    <mergeCell ref="A19:F19"/>
    <mergeCell ref="O11:T11"/>
  </mergeCells>
  <printOptions/>
  <pageMargins left="0.66" right="0.52" top="0.61" bottom="0.5" header="0.5" footer="0.77"/>
  <pageSetup horizontalDpi="600" verticalDpi="600" orientation="landscape" scale="83" r:id="rId1"/>
  <headerFooter alignWithMargins="0">
    <oddFooter>&amp;L&amp;7&amp;Z&amp;F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workbookViewId="0" topLeftCell="A1">
      <selection activeCell="A1" sqref="A1:S1"/>
    </sheetView>
  </sheetViews>
  <sheetFormatPr defaultColWidth="9.140625" defaultRowHeight="12.75"/>
  <cols>
    <col min="1" max="1" width="17.8515625" style="0" customWidth="1"/>
    <col min="2" max="3" width="6.8515625" style="0" customWidth="1"/>
    <col min="4" max="17" width="6.57421875" style="0" customWidth="1"/>
    <col min="18" max="18" width="8.28125" style="0" customWidth="1"/>
    <col min="19" max="19" width="2.7109375" style="0" customWidth="1"/>
  </cols>
  <sheetData>
    <row r="1" spans="1:18" ht="12.75">
      <c r="A1" s="200" t="s">
        <v>18</v>
      </c>
      <c r="B1" s="201"/>
      <c r="C1" s="201"/>
      <c r="D1" s="201"/>
      <c r="E1" s="201"/>
      <c r="F1" s="201"/>
      <c r="G1" s="201"/>
      <c r="H1" s="201"/>
      <c r="I1" s="201"/>
      <c r="J1" s="201"/>
      <c r="K1" s="201"/>
      <c r="L1" s="201"/>
      <c r="M1" s="208"/>
      <c r="N1" s="208"/>
      <c r="O1" s="208"/>
      <c r="P1" s="208"/>
      <c r="Q1" s="208"/>
      <c r="R1" s="208"/>
    </row>
    <row r="2" spans="1:18" ht="12.75">
      <c r="A2" s="200" t="s">
        <v>94</v>
      </c>
      <c r="B2" s="201"/>
      <c r="C2" s="201"/>
      <c r="D2" s="201"/>
      <c r="E2" s="201"/>
      <c r="F2" s="201"/>
      <c r="G2" s="201"/>
      <c r="H2" s="201"/>
      <c r="I2" s="201"/>
      <c r="J2" s="201"/>
      <c r="K2" s="201"/>
      <c r="L2" s="201"/>
      <c r="M2" s="201"/>
      <c r="N2" s="208"/>
      <c r="O2" s="208"/>
      <c r="P2" s="208"/>
      <c r="Q2" s="208"/>
      <c r="R2" s="208"/>
    </row>
    <row r="3" spans="3:18" ht="13.5">
      <c r="C3" s="104"/>
      <c r="D3" s="102"/>
      <c r="E3" s="102"/>
      <c r="F3" s="102"/>
      <c r="G3" s="102"/>
      <c r="H3" s="102"/>
      <c r="I3" s="102"/>
      <c r="J3" s="102"/>
      <c r="K3" s="102"/>
      <c r="L3" s="102"/>
      <c r="M3" s="251" t="s">
        <v>128</v>
      </c>
      <c r="N3" s="240"/>
      <c r="O3" s="240"/>
      <c r="P3" s="240"/>
      <c r="Q3" s="240"/>
      <c r="R3" s="240"/>
    </row>
    <row r="4" spans="1:18" ht="41.25" customHeight="1">
      <c r="A4" s="11" t="s">
        <v>18</v>
      </c>
      <c r="B4" s="142" t="s">
        <v>8</v>
      </c>
      <c r="C4" s="26" t="s">
        <v>7</v>
      </c>
      <c r="D4" s="26" t="s">
        <v>6</v>
      </c>
      <c r="E4" s="26" t="s">
        <v>5</v>
      </c>
      <c r="F4" s="26" t="s">
        <v>4</v>
      </c>
      <c r="G4" s="26" t="s">
        <v>3</v>
      </c>
      <c r="H4" s="26" t="s">
        <v>2</v>
      </c>
      <c r="I4" s="26" t="s">
        <v>1</v>
      </c>
      <c r="J4" s="26" t="s">
        <v>28</v>
      </c>
      <c r="K4" s="26" t="s">
        <v>32</v>
      </c>
      <c r="L4" s="41" t="s">
        <v>78</v>
      </c>
      <c r="M4" s="228" t="s">
        <v>104</v>
      </c>
      <c r="N4" s="226"/>
      <c r="O4" s="226"/>
      <c r="P4" s="226"/>
      <c r="Q4" s="226"/>
      <c r="R4" s="227"/>
    </row>
    <row r="5" spans="1:20" ht="30" customHeight="1">
      <c r="A5" s="25" t="s">
        <v>99</v>
      </c>
      <c r="B5" s="38">
        <v>18.47</v>
      </c>
      <c r="C5" s="38">
        <v>19.4</v>
      </c>
      <c r="D5" s="38">
        <v>20.32</v>
      </c>
      <c r="E5" s="38">
        <v>21.24</v>
      </c>
      <c r="F5" s="38">
        <v>22.15</v>
      </c>
      <c r="G5" s="38">
        <v>23.26</v>
      </c>
      <c r="H5" s="38">
        <v>24.42</v>
      </c>
      <c r="I5" s="38">
        <f>+H5</f>
        <v>24.42</v>
      </c>
      <c r="J5" s="38">
        <f>+I5</f>
        <v>24.42</v>
      </c>
      <c r="K5" s="99">
        <f>+J5*1.03</f>
        <v>25.152600000000003</v>
      </c>
      <c r="L5" s="38">
        <f aca="true" t="shared" si="0" ref="L5:L13">+K5</f>
        <v>25.152600000000003</v>
      </c>
      <c r="M5" s="222" t="s">
        <v>48</v>
      </c>
      <c r="N5" s="247"/>
      <c r="O5" s="247"/>
      <c r="P5" s="247"/>
      <c r="Q5" s="247"/>
      <c r="R5" s="248"/>
      <c r="S5" s="17"/>
      <c r="T5" s="17"/>
    </row>
    <row r="6" spans="1:20" ht="30" customHeight="1">
      <c r="A6" s="42" t="s">
        <v>106</v>
      </c>
      <c r="B6" s="38">
        <v>15.69</v>
      </c>
      <c r="C6" s="38">
        <v>16.5</v>
      </c>
      <c r="D6" s="38">
        <v>17.35</v>
      </c>
      <c r="E6" s="38">
        <v>18.21</v>
      </c>
      <c r="F6" s="38">
        <v>19.13</v>
      </c>
      <c r="G6" s="38">
        <f>+F6</f>
        <v>19.13</v>
      </c>
      <c r="H6" s="38">
        <f>+G6</f>
        <v>19.13</v>
      </c>
      <c r="I6" s="38">
        <f>+H6</f>
        <v>19.13</v>
      </c>
      <c r="J6" s="99">
        <f>+I6*1.03</f>
        <v>19.7039</v>
      </c>
      <c r="K6" s="38">
        <f>+J6</f>
        <v>19.7039</v>
      </c>
      <c r="L6" s="38">
        <f t="shared" si="0"/>
        <v>19.7039</v>
      </c>
      <c r="M6" s="222" t="s">
        <v>49</v>
      </c>
      <c r="N6" s="247"/>
      <c r="O6" s="247"/>
      <c r="P6" s="247"/>
      <c r="Q6" s="247"/>
      <c r="R6" s="248"/>
      <c r="S6" s="17"/>
      <c r="T6" s="17"/>
    </row>
    <row r="7" spans="1:21" s="43" customFormat="1" ht="30" customHeight="1">
      <c r="A7" s="25" t="s">
        <v>108</v>
      </c>
      <c r="B7" s="112">
        <v>16.39</v>
      </c>
      <c r="C7" s="112">
        <v>17.22</v>
      </c>
      <c r="D7" s="112">
        <v>18.09</v>
      </c>
      <c r="E7" s="112">
        <v>19</v>
      </c>
      <c r="F7" s="112">
        <v>19.97</v>
      </c>
      <c r="G7" s="112">
        <v>20.98</v>
      </c>
      <c r="H7" s="112">
        <f aca="true" t="shared" si="1" ref="H7:J9">+G7</f>
        <v>20.98</v>
      </c>
      <c r="I7" s="112">
        <f t="shared" si="1"/>
        <v>20.98</v>
      </c>
      <c r="J7" s="112">
        <f t="shared" si="1"/>
        <v>20.98</v>
      </c>
      <c r="K7" s="112">
        <f>+J7</f>
        <v>20.98</v>
      </c>
      <c r="L7" s="129">
        <f>+K7*1.02</f>
        <v>21.3996</v>
      </c>
      <c r="M7" s="222" t="s">
        <v>50</v>
      </c>
      <c r="N7" s="249"/>
      <c r="O7" s="249"/>
      <c r="P7" s="249"/>
      <c r="Q7" s="249"/>
      <c r="R7" s="250"/>
      <c r="S7" s="17" t="s">
        <v>79</v>
      </c>
      <c r="T7" s="120" t="s">
        <v>92</v>
      </c>
      <c r="U7" s="121"/>
    </row>
    <row r="8" spans="1:20" ht="30" customHeight="1">
      <c r="A8" s="125" t="s">
        <v>107</v>
      </c>
      <c r="B8" s="38">
        <v>19.38</v>
      </c>
      <c r="C8" s="38">
        <v>20.23</v>
      </c>
      <c r="D8" s="38">
        <v>21.12</v>
      </c>
      <c r="E8" s="38">
        <v>22.05</v>
      </c>
      <c r="F8" s="38">
        <v>23.03</v>
      </c>
      <c r="G8" s="38">
        <f>+F8</f>
        <v>23.03</v>
      </c>
      <c r="H8" s="38">
        <f t="shared" si="1"/>
        <v>23.03</v>
      </c>
      <c r="I8" s="38">
        <f t="shared" si="1"/>
        <v>23.03</v>
      </c>
      <c r="J8" s="38">
        <f t="shared" si="1"/>
        <v>23.03</v>
      </c>
      <c r="K8" s="38">
        <f>+J8</f>
        <v>23.03</v>
      </c>
      <c r="L8" s="99">
        <f>+K8*1.025</f>
        <v>23.60575</v>
      </c>
      <c r="M8" s="222" t="s">
        <v>110</v>
      </c>
      <c r="N8" s="242"/>
      <c r="O8" s="242"/>
      <c r="P8" s="242"/>
      <c r="Q8" s="242"/>
      <c r="R8" s="243"/>
      <c r="S8" s="122"/>
      <c r="T8" s="17"/>
    </row>
    <row r="9" spans="1:20" ht="30" customHeight="1">
      <c r="A9" s="25" t="s">
        <v>112</v>
      </c>
      <c r="B9" s="38">
        <v>12.44</v>
      </c>
      <c r="C9" s="38">
        <v>13.07</v>
      </c>
      <c r="D9" s="38">
        <v>13.73</v>
      </c>
      <c r="E9" s="38">
        <v>14.41</v>
      </c>
      <c r="F9" s="38">
        <v>15.15</v>
      </c>
      <c r="G9" s="38">
        <v>15.92</v>
      </c>
      <c r="H9" s="38">
        <f t="shared" si="1"/>
        <v>15.92</v>
      </c>
      <c r="I9" s="38">
        <f t="shared" si="1"/>
        <v>15.92</v>
      </c>
      <c r="J9" s="38">
        <f t="shared" si="1"/>
        <v>15.92</v>
      </c>
      <c r="K9" s="38">
        <f>+J9</f>
        <v>15.92</v>
      </c>
      <c r="L9" s="99">
        <f>+K9*1.025</f>
        <v>16.317999999999998</v>
      </c>
      <c r="M9" s="222" t="s">
        <v>114</v>
      </c>
      <c r="N9" s="247"/>
      <c r="O9" s="247"/>
      <c r="P9" s="247"/>
      <c r="Q9" s="247"/>
      <c r="R9" s="248"/>
      <c r="S9" s="17"/>
      <c r="T9" s="123"/>
    </row>
    <row r="10" spans="1:20" s="43" customFormat="1" ht="30" customHeight="1">
      <c r="A10" s="25" t="s">
        <v>116</v>
      </c>
      <c r="B10" s="112">
        <v>13</v>
      </c>
      <c r="C10" s="112">
        <v>13.65</v>
      </c>
      <c r="D10" s="112">
        <v>14.34</v>
      </c>
      <c r="E10" s="112">
        <v>15.05</v>
      </c>
      <c r="F10" s="112">
        <v>15.8</v>
      </c>
      <c r="G10" s="112">
        <v>16.59</v>
      </c>
      <c r="H10" s="112">
        <f>+G10</f>
        <v>16.59</v>
      </c>
      <c r="I10" s="112">
        <f>+H10</f>
        <v>16.59</v>
      </c>
      <c r="J10" s="112">
        <f>+I10</f>
        <v>16.59</v>
      </c>
      <c r="K10" s="129">
        <f>+J10*1.025</f>
        <v>17.004749999999998</v>
      </c>
      <c r="L10" s="112">
        <f t="shared" si="0"/>
        <v>17.004749999999998</v>
      </c>
      <c r="M10" s="222" t="s">
        <v>51</v>
      </c>
      <c r="N10" s="249"/>
      <c r="O10" s="249"/>
      <c r="P10" s="249"/>
      <c r="Q10" s="249"/>
      <c r="R10" s="250"/>
      <c r="S10" s="17"/>
      <c r="T10" s="124"/>
    </row>
    <row r="11" spans="1:20" ht="30" customHeight="1">
      <c r="A11" s="25" t="s">
        <v>118</v>
      </c>
      <c r="B11" s="38">
        <v>16.73</v>
      </c>
      <c r="C11" s="38">
        <v>17.58</v>
      </c>
      <c r="D11" s="38">
        <v>18.45</v>
      </c>
      <c r="E11" s="38">
        <v>19.39</v>
      </c>
      <c r="F11" s="38">
        <v>20.38</v>
      </c>
      <c r="G11" s="99">
        <f>+F11*1.03</f>
        <v>20.9914</v>
      </c>
      <c r="H11" s="38">
        <f aca="true" t="shared" si="2" ref="H11:J12">+G11</f>
        <v>20.9914</v>
      </c>
      <c r="I11" s="38">
        <f t="shared" si="2"/>
        <v>20.9914</v>
      </c>
      <c r="J11" s="38">
        <f t="shared" si="2"/>
        <v>20.9914</v>
      </c>
      <c r="K11" s="38">
        <f>+J11</f>
        <v>20.9914</v>
      </c>
      <c r="L11" s="99">
        <f>+F11*1.04</f>
        <v>21.1952</v>
      </c>
      <c r="M11" s="222" t="s">
        <v>52</v>
      </c>
      <c r="N11" s="242"/>
      <c r="O11" s="242"/>
      <c r="P11" s="242"/>
      <c r="Q11" s="242"/>
      <c r="R11" s="243"/>
      <c r="S11" s="17"/>
      <c r="T11" s="124"/>
    </row>
    <row r="12" spans="1:20" ht="30" customHeight="1">
      <c r="A12" s="25" t="s">
        <v>122</v>
      </c>
      <c r="B12" s="38">
        <f>30963/1950</f>
        <v>15.878461538461538</v>
      </c>
      <c r="C12" s="38">
        <f>32353/1950</f>
        <v>16.59128205128205</v>
      </c>
      <c r="D12" s="38">
        <f>33797/1950</f>
        <v>17.331794871794873</v>
      </c>
      <c r="E12" s="38">
        <f>35258/1950</f>
        <v>18.08102564102564</v>
      </c>
      <c r="F12" s="38">
        <f>36840/1950</f>
        <v>18.892307692307693</v>
      </c>
      <c r="G12" s="99">
        <f>$F12+(533/1950)</f>
        <v>19.165641025641026</v>
      </c>
      <c r="H12" s="38">
        <f t="shared" si="2"/>
        <v>19.165641025641026</v>
      </c>
      <c r="I12" s="38">
        <f t="shared" si="2"/>
        <v>19.165641025641026</v>
      </c>
      <c r="J12" s="38">
        <f t="shared" si="2"/>
        <v>19.165641025641026</v>
      </c>
      <c r="K12" s="99">
        <f>$F12+(1865/1950)</f>
        <v>19.848717948717947</v>
      </c>
      <c r="L12" s="38">
        <f t="shared" si="0"/>
        <v>19.848717948717947</v>
      </c>
      <c r="M12" s="244" t="s">
        <v>97</v>
      </c>
      <c r="N12" s="245"/>
      <c r="O12" s="245"/>
      <c r="P12" s="245"/>
      <c r="Q12" s="245"/>
      <c r="R12" s="246"/>
      <c r="S12" s="17"/>
      <c r="T12" s="130"/>
    </row>
    <row r="13" spans="1:20" ht="30" customHeight="1">
      <c r="A13" s="25" t="s">
        <v>126</v>
      </c>
      <c r="B13" s="38">
        <v>15.35</v>
      </c>
      <c r="C13" s="38">
        <v>16.12</v>
      </c>
      <c r="D13" s="38">
        <v>16.92</v>
      </c>
      <c r="E13" s="38">
        <v>17.77</v>
      </c>
      <c r="F13" s="38">
        <v>18.66</v>
      </c>
      <c r="G13" s="38">
        <f>+F13</f>
        <v>18.66</v>
      </c>
      <c r="H13" s="38">
        <f>+G13</f>
        <v>18.66</v>
      </c>
      <c r="I13" s="99">
        <f>+H13*1.025-0.01</f>
        <v>19.1165</v>
      </c>
      <c r="J13" s="38">
        <f>+I13</f>
        <v>19.1165</v>
      </c>
      <c r="K13" s="38">
        <f>+J13</f>
        <v>19.1165</v>
      </c>
      <c r="L13" s="38">
        <f t="shared" si="0"/>
        <v>19.1165</v>
      </c>
      <c r="M13" s="222" t="s">
        <v>53</v>
      </c>
      <c r="N13" s="242"/>
      <c r="O13" s="242"/>
      <c r="P13" s="242"/>
      <c r="Q13" s="242"/>
      <c r="R13" s="243"/>
      <c r="S13" s="17"/>
      <c r="T13" s="124"/>
    </row>
    <row r="14" spans="1:19" ht="30" customHeight="1">
      <c r="A14" s="25" t="s">
        <v>120</v>
      </c>
      <c r="B14" s="38">
        <v>15.93</v>
      </c>
      <c r="C14" s="38">
        <v>16.73</v>
      </c>
      <c r="D14" s="38">
        <v>17.57</v>
      </c>
      <c r="E14" s="38">
        <v>18.45</v>
      </c>
      <c r="F14" s="38">
        <v>19.37</v>
      </c>
      <c r="G14" s="99">
        <f>20.34*1.04</f>
        <v>21.1536</v>
      </c>
      <c r="H14" s="38">
        <f>+G14</f>
        <v>21.1536</v>
      </c>
      <c r="I14" s="38">
        <f>+H14</f>
        <v>21.1536</v>
      </c>
      <c r="J14" s="38">
        <f>+I14</f>
        <v>21.1536</v>
      </c>
      <c r="K14" s="38">
        <f>+J14</f>
        <v>21.1536</v>
      </c>
      <c r="L14" s="99">
        <f>20.34*1.06</f>
        <v>21.5604</v>
      </c>
      <c r="M14" s="222" t="s">
        <v>54</v>
      </c>
      <c r="N14" s="242"/>
      <c r="O14" s="242"/>
      <c r="P14" s="242"/>
      <c r="Q14" s="242"/>
      <c r="R14" s="243"/>
      <c r="S14" s="17"/>
    </row>
    <row r="15" spans="1:18" ht="13.5">
      <c r="A15" s="44" t="s">
        <v>0</v>
      </c>
      <c r="B15" s="45">
        <f>SUM(B5:B14)</f>
        <v>159.25846153846155</v>
      </c>
      <c r="C15" s="45">
        <f aca="true" t="shared" si="3" ref="C15:L15">SUM(C5:C14)</f>
        <v>167.09128205128204</v>
      </c>
      <c r="D15" s="45">
        <f t="shared" si="3"/>
        <v>175.22179487179488</v>
      </c>
      <c r="E15" s="45">
        <f t="shared" si="3"/>
        <v>183.65102564102563</v>
      </c>
      <c r="F15" s="45">
        <f t="shared" si="3"/>
        <v>192.5323076923077</v>
      </c>
      <c r="G15" s="45">
        <f t="shared" si="3"/>
        <v>198.88064102564107</v>
      </c>
      <c r="H15" s="45">
        <f t="shared" si="3"/>
        <v>200.04064102564104</v>
      </c>
      <c r="I15" s="45">
        <f t="shared" si="3"/>
        <v>200.49714102564104</v>
      </c>
      <c r="J15" s="45">
        <f t="shared" si="3"/>
        <v>201.07104102564108</v>
      </c>
      <c r="K15" s="46">
        <f t="shared" si="3"/>
        <v>202.90146794871794</v>
      </c>
      <c r="L15" s="46">
        <f t="shared" si="3"/>
        <v>204.9054179487179</v>
      </c>
      <c r="M15" s="236" t="s">
        <v>36</v>
      </c>
      <c r="N15" s="237"/>
      <c r="O15" s="237"/>
      <c r="P15" s="237"/>
      <c r="Q15" s="237"/>
      <c r="R15" s="238"/>
    </row>
    <row r="16" spans="1:18" ht="13.5">
      <c r="A16" s="11" t="s">
        <v>45</v>
      </c>
      <c r="B16" s="45">
        <f>B15/10</f>
        <v>15.925846153846155</v>
      </c>
      <c r="C16" s="45">
        <f aca="true" t="shared" si="4" ref="C16:L16">C15/10</f>
        <v>16.709128205128202</v>
      </c>
      <c r="D16" s="45">
        <f t="shared" si="4"/>
        <v>17.52217948717949</v>
      </c>
      <c r="E16" s="45">
        <f t="shared" si="4"/>
        <v>18.365102564102564</v>
      </c>
      <c r="F16" s="45">
        <f t="shared" si="4"/>
        <v>19.253230769230772</v>
      </c>
      <c r="G16" s="131">
        <f t="shared" si="4"/>
        <v>19.88806410256411</v>
      </c>
      <c r="H16" s="131">
        <f t="shared" si="4"/>
        <v>20.004064102564104</v>
      </c>
      <c r="I16" s="45">
        <f t="shared" si="4"/>
        <v>20.049714102564103</v>
      </c>
      <c r="J16" s="45">
        <f t="shared" si="4"/>
        <v>20.107104102564108</v>
      </c>
      <c r="K16" s="46">
        <f t="shared" si="4"/>
        <v>20.290146794871795</v>
      </c>
      <c r="L16" s="46">
        <f t="shared" si="4"/>
        <v>20.490541794871792</v>
      </c>
      <c r="M16" s="239"/>
      <c r="N16" s="240"/>
      <c r="O16" s="240"/>
      <c r="P16" s="240"/>
      <c r="Q16" s="240"/>
      <c r="R16" s="241"/>
    </row>
    <row r="17" spans="2:12" ht="12.75">
      <c r="B17" s="57"/>
      <c r="C17" s="57"/>
      <c r="D17" s="57"/>
      <c r="E17" s="57"/>
      <c r="F17" s="57"/>
      <c r="G17" s="57"/>
      <c r="H17" s="57"/>
      <c r="I17" s="57"/>
      <c r="J17" s="57"/>
      <c r="K17" s="57"/>
      <c r="L17" s="57"/>
    </row>
    <row r="18" spans="1:18" ht="13.5" customHeight="1">
      <c r="A18" s="234" t="s">
        <v>55</v>
      </c>
      <c r="B18" s="235"/>
      <c r="C18" s="235"/>
      <c r="D18" s="235"/>
      <c r="E18" s="235"/>
      <c r="F18" s="235"/>
      <c r="G18" s="235"/>
      <c r="H18" s="235"/>
      <c r="I18" s="235"/>
      <c r="J18" s="235"/>
      <c r="K18" s="235"/>
      <c r="L18" s="235"/>
      <c r="M18" s="235"/>
      <c r="N18" s="235"/>
      <c r="O18" s="235"/>
      <c r="P18" s="235"/>
      <c r="Q18" s="235"/>
      <c r="R18" s="235"/>
    </row>
    <row r="19" spans="1:18" ht="13.5" customHeight="1">
      <c r="A19" s="58"/>
      <c r="B19" s="59"/>
      <c r="C19" s="59"/>
      <c r="D19" s="59"/>
      <c r="E19" s="59"/>
      <c r="F19" s="59"/>
      <c r="G19" s="59"/>
      <c r="H19" s="59"/>
      <c r="I19" s="59"/>
      <c r="J19" s="59"/>
      <c r="K19" s="59"/>
      <c r="L19" s="59"/>
      <c r="M19" s="59"/>
      <c r="N19" s="59"/>
      <c r="O19" s="59"/>
      <c r="P19" s="59"/>
      <c r="Q19" s="59"/>
      <c r="R19" s="59"/>
    </row>
    <row r="20" spans="1:18" ht="13.5" customHeight="1">
      <c r="A20" s="207" t="s">
        <v>30</v>
      </c>
      <c r="B20" s="208"/>
      <c r="C20" s="208"/>
      <c r="D20" s="208"/>
      <c r="E20" s="208"/>
      <c r="F20" s="208"/>
      <c r="G20" s="59"/>
      <c r="H20" s="59"/>
      <c r="I20" s="59"/>
      <c r="J20" s="59"/>
      <c r="K20" s="59"/>
      <c r="L20" s="59"/>
      <c r="M20" s="59"/>
      <c r="N20" s="59"/>
      <c r="O20" s="59"/>
      <c r="P20" s="59"/>
      <c r="Q20" s="59"/>
      <c r="R20" s="59"/>
    </row>
    <row r="21" spans="1:19" ht="12.75">
      <c r="A21" s="52"/>
      <c r="B21" s="52"/>
      <c r="C21" s="52"/>
      <c r="D21" s="52"/>
      <c r="E21" s="52"/>
      <c r="F21" s="52"/>
      <c r="G21" s="52"/>
      <c r="H21" s="52"/>
      <c r="I21" s="52"/>
      <c r="J21" s="52"/>
      <c r="K21" s="52"/>
      <c r="L21" s="52"/>
      <c r="M21" s="52"/>
      <c r="N21" s="52"/>
      <c r="O21" s="52"/>
      <c r="P21" s="52"/>
      <c r="Q21" s="52"/>
      <c r="R21" s="52"/>
      <c r="S21" s="52"/>
    </row>
    <row r="22" spans="1:19" ht="13.5" customHeight="1">
      <c r="A22" s="132"/>
      <c r="B22" s="59"/>
      <c r="C22" s="59"/>
      <c r="D22" s="52"/>
      <c r="E22" s="52"/>
      <c r="F22" s="52"/>
      <c r="G22" s="52"/>
      <c r="H22" s="52"/>
      <c r="I22" s="52"/>
      <c r="J22" s="52"/>
      <c r="K22" s="133"/>
      <c r="L22" s="134"/>
      <c r="M22" s="135"/>
      <c r="N22" s="52"/>
      <c r="O22" s="52"/>
      <c r="P22" s="52"/>
      <c r="Q22" s="52"/>
      <c r="R22" s="52"/>
      <c r="S22" s="52"/>
    </row>
    <row r="23" spans="1:19" ht="13.5" customHeight="1">
      <c r="A23" s="136"/>
      <c r="B23" s="137"/>
      <c r="C23" s="137"/>
      <c r="D23" s="137"/>
      <c r="E23" s="137"/>
      <c r="F23" s="137"/>
      <c r="G23" s="137"/>
      <c r="H23" s="137"/>
      <c r="I23" s="137"/>
      <c r="J23" s="137"/>
      <c r="K23" s="137"/>
      <c r="L23" s="137"/>
      <c r="M23" s="137"/>
      <c r="N23" s="52"/>
      <c r="O23" s="52"/>
      <c r="P23" s="52"/>
      <c r="Q23" s="52"/>
      <c r="R23" s="52"/>
      <c r="S23" s="52"/>
    </row>
    <row r="24" spans="1:19" ht="13.5" customHeight="1">
      <c r="A24" s="136"/>
      <c r="B24" s="137"/>
      <c r="C24" s="137"/>
      <c r="D24" s="137"/>
      <c r="E24" s="137"/>
      <c r="F24" s="137"/>
      <c r="G24" s="137"/>
      <c r="H24" s="137"/>
      <c r="I24" s="137"/>
      <c r="J24" s="137"/>
      <c r="K24" s="137"/>
      <c r="L24" s="137"/>
      <c r="M24" s="137"/>
      <c r="N24" s="52"/>
      <c r="O24" s="52"/>
      <c r="P24" s="52"/>
      <c r="Q24" s="52"/>
      <c r="R24" s="52"/>
      <c r="S24" s="52"/>
    </row>
    <row r="25" spans="1:19" ht="13.5" customHeight="1">
      <c r="A25" s="138"/>
      <c r="B25" s="52"/>
      <c r="C25" s="52"/>
      <c r="D25" s="52"/>
      <c r="E25" s="52"/>
      <c r="F25" s="52"/>
      <c r="G25" s="52"/>
      <c r="H25" s="52"/>
      <c r="I25" s="52"/>
      <c r="J25" s="52"/>
      <c r="K25" s="52"/>
      <c r="L25" s="52"/>
      <c r="M25" s="52"/>
      <c r="N25" s="52"/>
      <c r="O25" s="52"/>
      <c r="P25" s="52"/>
      <c r="Q25" s="52"/>
      <c r="R25" s="52"/>
      <c r="S25" s="52"/>
    </row>
    <row r="26" spans="1:19" ht="13.5" customHeight="1">
      <c r="A26" s="139"/>
      <c r="B26" s="52"/>
      <c r="C26" s="52"/>
      <c r="D26" s="52"/>
      <c r="E26" s="52"/>
      <c r="F26" s="52"/>
      <c r="G26" s="52"/>
      <c r="H26" s="52"/>
      <c r="I26" s="52"/>
      <c r="J26" s="52"/>
      <c r="K26" s="52"/>
      <c r="L26" s="52"/>
      <c r="M26" s="52"/>
      <c r="N26" s="52"/>
      <c r="O26" s="52"/>
      <c r="P26" s="52"/>
      <c r="Q26" s="52"/>
      <c r="R26" s="52"/>
      <c r="S26" s="52"/>
    </row>
    <row r="27" spans="1:18" ht="13.5" customHeight="1">
      <c r="A27" s="58"/>
      <c r="B27" s="59"/>
      <c r="C27" s="59"/>
      <c r="D27" s="59"/>
      <c r="E27" s="59"/>
      <c r="F27" s="59"/>
      <c r="G27" s="59"/>
      <c r="H27" s="59"/>
      <c r="I27" s="59"/>
      <c r="J27" s="59"/>
      <c r="K27" s="59"/>
      <c r="L27" s="59"/>
      <c r="M27" s="59"/>
      <c r="N27" s="59"/>
      <c r="O27" s="59"/>
      <c r="P27" s="59"/>
      <c r="Q27" s="59"/>
      <c r="R27" s="59"/>
    </row>
  </sheetData>
  <mergeCells count="17">
    <mergeCell ref="M3:R3"/>
    <mergeCell ref="A20:F20"/>
    <mergeCell ref="A18:R18"/>
    <mergeCell ref="M15:R16"/>
    <mergeCell ref="A1:R1"/>
    <mergeCell ref="A2:R2"/>
    <mergeCell ref="M13:R13"/>
    <mergeCell ref="M11:R11"/>
    <mergeCell ref="M14:R14"/>
    <mergeCell ref="M12:R12"/>
    <mergeCell ref="M4:R4"/>
    <mergeCell ref="M9:R9"/>
    <mergeCell ref="M10:R10"/>
    <mergeCell ref="M5:R5"/>
    <mergeCell ref="M6:R6"/>
    <mergeCell ref="M7:R7"/>
    <mergeCell ref="M8:R8"/>
  </mergeCells>
  <printOptions/>
  <pageMargins left="0.75" right="0.75" top="0.5" bottom="1" header="0.5" footer="0.5"/>
  <pageSetup horizontalDpi="600" verticalDpi="600" orientation="landscape" scale="91" r:id="rId1"/>
  <headerFooter alignWithMargins="0">
    <oddFooter>&amp;L&amp;7&amp;Z&amp;F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Coast Section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Gaddini</dc:creator>
  <cp:keywords/>
  <dc:description/>
  <cp:lastModifiedBy>Laura Nathlich</cp:lastModifiedBy>
  <cp:lastPrinted>2017-05-09T18:19:40Z</cp:lastPrinted>
  <dcterms:created xsi:type="dcterms:W3CDTF">2002-05-03T22:20:12Z</dcterms:created>
  <dcterms:modified xsi:type="dcterms:W3CDTF">2017-05-09T19:14:09Z</dcterms:modified>
  <cp:category/>
  <cp:version/>
  <cp:contentType/>
  <cp:contentStatus/>
</cp:coreProperties>
</file>