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840" yWindow="450" windowWidth="10860" windowHeight="5640" activeTab="0"/>
  </bookViews>
  <sheets>
    <sheet name="Comm" sheetId="1" r:id="rId1"/>
    <sheet name="Assoc" sheetId="4" r:id="rId2"/>
    <sheet name="Assist" sheetId="5" r:id="rId3"/>
    <sheet name="Acct" sheetId="10" r:id="rId4"/>
    <sheet name="AcctLong" sheetId="11" r:id="rId5"/>
    <sheet name="DNU" sheetId="3" r:id="rId6"/>
    <sheet name="EventsDNU" sheetId="6" r:id="rId7"/>
    <sheet name="AwardsDNU" sheetId="8" r:id="rId8"/>
    <sheet name="Souv.ARDNU" sheetId="9" r:id="rId9"/>
    <sheet name="Acct2dnu" sheetId="12" r:id="rId10"/>
  </sheets>
  <definedNames>
    <definedName name="_xlnm.Print_Area" localSheetId="3">'Acct'!$A$1:$Q$27</definedName>
    <definedName name="_xlnm.Print_Area" localSheetId="9">'Acct2dnu'!$A$1:$O$35</definedName>
    <definedName name="_xlnm.Print_Area" localSheetId="2">'Assist'!$A$1:$O$23</definedName>
    <definedName name="_xlnm.Print_Area" localSheetId="1">'Assoc'!$A$1:$O$22</definedName>
    <definedName name="_xlnm.Print_Area" localSheetId="7">'AwardsDNU'!$A$1:$R$20</definedName>
    <definedName name="_xlnm.Print_Area" localSheetId="0">'Comm'!$A$1:$O$36</definedName>
    <definedName name="_xlnm.Print_Area" localSheetId="6">'EventsDNU'!$A$1:$T$21</definedName>
    <definedName name="_xlnm.Print_Area" localSheetId="8">'Souv.ARDNU'!$A$1:$T$21</definedName>
  </definedNames>
  <calcPr calcId="152511"/>
</workbook>
</file>

<file path=xl/comments10.xml><?xml version="1.0" encoding="utf-8"?>
<comments xmlns="http://schemas.openxmlformats.org/spreadsheetml/2006/main">
  <authors>
    <author>Laura Nathlich</author>
  </authors>
  <commentList>
    <comment ref="M5" authorId="0">
      <text>
        <r>
          <rPr>
            <b/>
            <sz val="9"/>
            <rFont val="Tahoma"/>
            <family val="2"/>
          </rPr>
          <t>Laura Nathlich:</t>
        </r>
        <r>
          <rPr>
            <sz val="9"/>
            <rFont val="Tahoma"/>
            <family val="2"/>
          </rPr>
          <t xml:space="preserve">
as of 06/01/14</t>
        </r>
      </text>
    </comment>
    <comment ref="N5" authorId="0">
      <text>
        <r>
          <rPr>
            <b/>
            <sz val="9"/>
            <rFont val="Tahoma"/>
            <family val="2"/>
          </rPr>
          <t>Laura Nathlich:</t>
        </r>
        <r>
          <rPr>
            <sz val="9"/>
            <rFont val="Tahoma"/>
            <family val="2"/>
          </rPr>
          <t xml:space="preserve">
as of 06/01/15</t>
        </r>
      </text>
    </comment>
    <comment ref="L7" authorId="0">
      <text>
        <r>
          <rPr>
            <b/>
            <sz val="9"/>
            <rFont val="Tahoma"/>
            <family val="2"/>
          </rPr>
          <t>Laura Nathlich:</t>
        </r>
        <r>
          <rPr>
            <sz val="9"/>
            <rFont val="Tahoma"/>
            <family val="2"/>
          </rPr>
          <t xml:space="preserve">
Laura started at step 10 &amp; is in yr 8 in as of 06/01/14</t>
        </r>
      </text>
    </comment>
    <comment ref="I39" authorId="0">
      <text>
        <r>
          <rPr>
            <b/>
            <sz val="9"/>
            <rFont val="Tahoma"/>
            <family val="2"/>
          </rPr>
          <t>Laura Nathlich:</t>
        </r>
        <r>
          <rPr>
            <sz val="9"/>
            <rFont val="Tahoma"/>
            <family val="2"/>
          </rPr>
          <t xml:space="preserve">
Bri skips step F yr  4-6 &amp; goes to step F yr 7-9</t>
        </r>
      </text>
    </comment>
  </commentList>
</comments>
</file>

<file path=xl/comments3.xml><?xml version="1.0" encoding="utf-8"?>
<comments xmlns="http://schemas.openxmlformats.org/spreadsheetml/2006/main">
  <authors>
    <author>Laura Nathlich</author>
  </authors>
  <commentList>
    <comment ref="I7" authorId="0">
      <text>
        <r>
          <rPr>
            <b/>
            <sz val="9"/>
            <rFont val="Tahoma"/>
            <family val="2"/>
          </rPr>
          <t>Laura Nathlich:</t>
        </r>
        <r>
          <rPr>
            <sz val="9"/>
            <rFont val="Tahoma"/>
            <family val="2"/>
          </rPr>
          <t xml:space="preserve">
Bri skips step F yr  4-6 &amp; goes to step F yr 7-9</t>
        </r>
      </text>
    </comment>
  </commentList>
</comments>
</file>

<file path=xl/sharedStrings.xml><?xml version="1.0" encoding="utf-8"?>
<sst xmlns="http://schemas.openxmlformats.org/spreadsheetml/2006/main" count="535" uniqueCount="246">
  <si>
    <t>TOTAL</t>
  </si>
  <si>
    <t>VIII</t>
  </si>
  <si>
    <t>VII</t>
  </si>
  <si>
    <t>VI</t>
  </si>
  <si>
    <t>V</t>
  </si>
  <si>
    <t>IV</t>
  </si>
  <si>
    <t>III</t>
  </si>
  <si>
    <t>II</t>
  </si>
  <si>
    <t>I</t>
  </si>
  <si>
    <t>WK. DAYS</t>
  </si>
  <si>
    <t>DISTRICT</t>
  </si>
  <si>
    <r>
      <t>1</t>
    </r>
    <r>
      <rPr>
        <sz val="8"/>
        <rFont val="Arial"/>
        <family val="2"/>
      </rPr>
      <t xml:space="preserve"> Commissioner: NCS Board of Managers on April 30,1999 established the NCS Commissioner of Athletics Salary to be based on a 240 day work year. {Compensation will be computed using the average per diem rate (average annual salary divided by the number of days worked required by the position ) for the 10 base districts times 240 days.}</t>
    </r>
  </si>
  <si>
    <t>LONG. After 5 yrs= 3%; After 10,15,20,25,30,35 yrs = Additional 1%, Masters=$1300</t>
  </si>
  <si>
    <t>Masters</t>
  </si>
  <si>
    <t>Acalanes</t>
  </si>
  <si>
    <t>Alameda</t>
  </si>
  <si>
    <t>Antioch</t>
  </si>
  <si>
    <t>Fremont</t>
  </si>
  <si>
    <t>District</t>
  </si>
  <si>
    <t>Martinez</t>
  </si>
  <si>
    <t>Mt. Diablo</t>
  </si>
  <si>
    <t>Pleasanton</t>
  </si>
  <si>
    <t>West CC</t>
  </si>
  <si>
    <t>San Leandro</t>
  </si>
  <si>
    <t>San Ramon</t>
  </si>
  <si>
    <t>Average per Year</t>
  </si>
  <si>
    <t>Amount per Pay Period</t>
  </si>
  <si>
    <r>
      <t>NCS COMMISSIONER</t>
    </r>
    <r>
      <rPr>
        <sz val="8"/>
        <rFont val="Arial"/>
        <family val="2"/>
      </rPr>
      <t xml:space="preserve"> SALARY-AVG/YR</t>
    </r>
    <r>
      <rPr>
        <vertAlign val="superscript"/>
        <sz val="8"/>
        <rFont val="Arial"/>
        <family val="2"/>
      </rPr>
      <t>1</t>
    </r>
    <r>
      <rPr>
        <sz val="8"/>
        <rFont val="Arial"/>
        <family val="2"/>
      </rPr>
      <t xml:space="preserve"> FOR 240 DAYS   </t>
    </r>
  </si>
  <si>
    <t>IX</t>
  </si>
  <si>
    <r>
      <t>2</t>
    </r>
    <r>
      <rPr>
        <sz val="8"/>
        <rFont val="Arial"/>
        <family val="2"/>
      </rPr>
      <t>Commissioner began employment in current position with NCS August 2008 on step 5 of the NCS Salary Schedule</t>
    </r>
  </si>
  <si>
    <r>
      <t>3</t>
    </r>
    <r>
      <rPr>
        <sz val="8"/>
        <rFont val="Arial"/>
        <family val="2"/>
      </rPr>
      <t xml:space="preserve">  No changes made from prior year by school district</t>
    </r>
  </si>
  <si>
    <t>BASED ON HIGH SCHOOL VICE-PRINCIPAL SALARY SCHEDULES OF THE 10 BASE SCHOOL DISTRICTS</t>
  </si>
  <si>
    <t>X</t>
  </si>
  <si>
    <r>
      <t>SALARY-AVG/YR FOR 240 DAYS</t>
    </r>
    <r>
      <rPr>
        <vertAlign val="superscript"/>
        <sz val="8"/>
        <rFont val="Arial"/>
        <family val="2"/>
      </rPr>
      <t>1</t>
    </r>
  </si>
  <si>
    <r>
      <t>1</t>
    </r>
    <r>
      <rPr>
        <sz val="8"/>
        <rFont val="Arial"/>
        <family val="2"/>
      </rPr>
      <t xml:space="preserve"> Director of Operations: NCS Board of Managers on April 30,1999 established the NCS Director of Operations salary based on a 240 day work year. {Compensation will be computed using the average per diem rate (average annual salary divided by the average number of days worked required by the position) for 10 base districts times 240 days.}</t>
    </r>
  </si>
  <si>
    <r>
      <t xml:space="preserve">2 </t>
    </r>
    <r>
      <rPr>
        <sz val="8"/>
        <rFont val="Arial"/>
        <family val="2"/>
      </rPr>
      <t>Director of Operations: NCS Board of Managers on April 27,2001 established the NCS Director of Operations job title will be reclassified Assistant Commissioner/Director of Operations and the salary will be upgraded to 100% of a Vice Principal's salary and phased in over a two-year period beginning August 2001.  Note:  Up to August 1, 2000, salary = 92% or a Vice Principal's salary;  August 2001-July 31, 2002, salary = 96% of a Vice Principal's salary,; beginning August 1, 2002, salary = to 100% of a Vice Principal's salary.</t>
    </r>
  </si>
  <si>
    <t xml:space="preserve"> </t>
  </si>
  <si>
    <t>LONG. AFTER 5 YRS =3%; AFTER 10,15,20,25,30,35 YRS= ADDITIONAL 1%, Masters =$1300</t>
  </si>
  <si>
    <t xml:space="preserve">  </t>
  </si>
  <si>
    <r>
      <t>SALARY-AVG/YR FOR 220 DAYS</t>
    </r>
    <r>
      <rPr>
        <vertAlign val="superscript"/>
        <sz val="8"/>
        <rFont val="Arial"/>
        <family val="2"/>
      </rPr>
      <t xml:space="preserve">1 </t>
    </r>
    <r>
      <rPr>
        <sz val="8"/>
        <rFont val="Arial"/>
        <family val="2"/>
      </rPr>
      <t>ASST. D.O. SALARY</t>
    </r>
  </si>
  <si>
    <t xml:space="preserve">LONG: AFTER 9 YRS.- 3%; AFTER 14 YRS. - 6% (Accounts Payable Technician-Level 18) </t>
  </si>
  <si>
    <t>LONG:  AT 10 YRS. - 2.5%; 15 YRS. - 2.5%; 20 YRS. - 2.5%; 25 YRS. - 2.5% (Senior Account Clerk - Range 448)</t>
  </si>
  <si>
    <t>LONG: AFTER 5 YRS. 3%; AFTER 10,15,20,25,30,35 YRS. - Additional 1% (Account Technician II-Level 20)</t>
  </si>
  <si>
    <t>LONG: AT 8 YRS. - 2.5%; AT 13 YRS. - 5%; AT 18 YRS. - 7.5%; AT 23 YRS. - 10%; AT 28 YRS. - 12.5% (Computer Technician - Level 44)</t>
  </si>
  <si>
    <t>LONG: AFTER 5 YRS. - 4%; AFTER 10 YRS. - 6%, AFTER 15 YRS. - 8%; AFTER 20 YRS. - 10%; (Payroll Technician - Range 14)</t>
  </si>
  <si>
    <t>AVERAGE</t>
  </si>
  <si>
    <t>YEARLY SALARY</t>
  </si>
  <si>
    <r>
      <t>2</t>
    </r>
    <r>
      <rPr>
        <sz val="9"/>
        <rFont val="Arial"/>
        <family val="2"/>
      </rPr>
      <t xml:space="preserve"> Work week = 37.5 hours, adjust to NCS 2080 hours per year</t>
    </r>
  </si>
  <si>
    <t>LONG: AFTER 9 YRS.- 3%; AFTER 14 YRS. - 6%; AFTER 19 YRS - 9%; (SCHOOL SECRETARY - Level 16)</t>
  </si>
  <si>
    <t>LONG: AFTER 8 YRS.- 3 %; AFTER 15 YRS. - 3 % (Clerical Program Assistant - Level 28)</t>
  </si>
  <si>
    <t>LONG: AFTER 10 YRS. - 2%; 15 YRS-  $3%; (SCH.OFFICE ASST. - Level 124)</t>
  </si>
  <si>
    <t>LONG:  AT 10 YRS. - 2.5%; 15 YRS. - 2.5%; 20 YRS. - 2.5%; 25 YRS. - 2.5% (INTERMEDIATE TYPIST CLERK - Range 388)</t>
  </si>
  <si>
    <t>LONG: AFTER 5 YRS. 3%; AFTER 10,15,20,25,30,35 YRS. - Additional 1% (School Clerk-Level 11)</t>
  </si>
  <si>
    <t>LONG: AT 8 YRS. - 2.5%; AT 13 YRS. - 5%; AT 18 YRS. - 7.5%; AT 23 YRS. - 10%; AT 28 YRS. - 12.5% (OFFICE CLERK II - LEVEL 30)</t>
  </si>
  <si>
    <t>LONG: AFTER 5 YRS. - 4%; AFTER 10 YRS. - 6%, AFTER 15 YRS. - 8%; AFTER 20 YRS. - 10%; (CLERK TYPIST - Range 10)</t>
  </si>
  <si>
    <r>
      <t>2</t>
    </r>
    <r>
      <rPr>
        <sz val="10"/>
        <rFont val="Arial"/>
        <family val="2"/>
      </rPr>
      <t xml:space="preserve"> Work week = 37.5 hours, adjust to NCS 2080 hours per year</t>
    </r>
  </si>
  <si>
    <t>LONG: AFTER 9 YRS.- 3%; AFTER 14 YRS. - 6%; AFTER 19 YRS - 9%; (Office Clerk - Level 14)</t>
  </si>
  <si>
    <t>LONG:  AT 10 YRS. - 2.5%; 15 YRS. - 2.5%; 20 YRS. - 2.5%; 25 YRS. - 2.5% (Receptionist - Range 388)</t>
  </si>
  <si>
    <t>LONG: AFTER 5 YRS. 3%; AFTER 10,15,20,25,30,35 YRS. - Additional 1% (Clerk-Level 10)</t>
  </si>
  <si>
    <t>LONG: AT 8 YRS. - 2.5%; AT 13 YRS. - 5%; AT 18 YRS. - 7.5%; AT 23 YRS. - 10%; AT 28 YRS. - 12.5% (OFFICE CLERK I - LEVEL 29)</t>
  </si>
  <si>
    <t>NCS ACCOUNTANT</t>
  </si>
  <si>
    <t>STEP1</t>
  </si>
  <si>
    <t>STEP 2</t>
  </si>
  <si>
    <t>STEP 3</t>
  </si>
  <si>
    <t>STEP 4</t>
  </si>
  <si>
    <t>STEP 5</t>
  </si>
  <si>
    <t>% INCREASE</t>
  </si>
  <si>
    <t>ADMINISTRATIVE ASST.</t>
  </si>
  <si>
    <t>CHAMPIONSHIP EVENTS CLERK</t>
  </si>
  <si>
    <t>STEP 6</t>
  </si>
  <si>
    <t>STEP 7</t>
  </si>
  <si>
    <t>STEP 8</t>
  </si>
  <si>
    <t>STEP 9</t>
  </si>
  <si>
    <t>STEP10</t>
  </si>
  <si>
    <t xml:space="preserve">STEP 1 </t>
  </si>
  <si>
    <t xml:space="preserve">STEP 3 </t>
  </si>
  <si>
    <t>STEP 10</t>
  </si>
  <si>
    <r>
      <t>4</t>
    </r>
    <r>
      <rPr>
        <sz val="10"/>
        <rFont val="Arial"/>
        <family val="2"/>
      </rPr>
      <t xml:space="preserve"> Work week = 37.5 hours, adjust to NCS 2080 hours per year</t>
    </r>
  </si>
  <si>
    <t>+Long (11yrs)</t>
  </si>
  <si>
    <t>x</t>
  </si>
  <si>
    <t>LONG: After 8yrs- 3 %; After 15yrs+ 3 %, After 20yrs +3% (Clerical Program Assistant - Level 28)</t>
  </si>
  <si>
    <t>LONG. At 5 yrs, 8,11,14,17, and 20 yrs +1% cumm, Masters=$1000</t>
  </si>
  <si>
    <t>LONG. AFTER 5 YRS =3%; AFTER 10,15,20,25,30,35 YRS= ADD 1%, Masters=1300</t>
  </si>
  <si>
    <t>LONG: AFTER 5 YRS. - 4%; AFTER 10 YRS. - 6%, AFTER 15 YRS. - 8%; AFTER 20 YRS. - 10%; (Range 9)</t>
  </si>
  <si>
    <t>NO LONG</t>
  </si>
  <si>
    <t>next change - 25 yrs</t>
  </si>
  <si>
    <t>+Long (22yrs)</t>
  </si>
  <si>
    <t>+Long (23yrs)</t>
  </si>
  <si>
    <r>
      <t>ALAMEDA</t>
    </r>
    <r>
      <rPr>
        <b/>
        <vertAlign val="superscript"/>
        <sz val="8"/>
        <rFont val="Arial"/>
        <family val="2"/>
      </rPr>
      <t xml:space="preserve"> (11-12)</t>
    </r>
  </si>
  <si>
    <t>LONG: AFTER 8 YRS,15,20,26- 3 % (Account Technician - Level 35)</t>
  </si>
  <si>
    <t>LONG: AFTER 10 yr. - 2%; 15 yr-  3%; 20 yr - 4%, 25 -5% (Clerk Typist-LEVEL 123)</t>
  </si>
  <si>
    <t>LONG: AFTER 10 YRS. - 2%; 15 YRS-  3%;20 Yrs - 4%, 25 -5% Account Technician Level 133)</t>
  </si>
  <si>
    <t>eff 1/1/13</t>
  </si>
  <si>
    <t>Col 10 - @  8 yrs, Col 11-@12 yrs, Col 12 @ 20 yrs service w/ NCS</t>
  </si>
  <si>
    <r>
      <t>BASED ON THE 2013-14 SCHOOL YEAR (</t>
    </r>
    <r>
      <rPr>
        <sz val="10"/>
        <rFont val="Arial Narrow"/>
        <family val="2"/>
      </rPr>
      <t>BASED ON COMPARATIVE CLERICAL POSTIONS)</t>
    </r>
  </si>
  <si>
    <r>
      <t>ANTIOCH</t>
    </r>
    <r>
      <rPr>
        <vertAlign val="superscript"/>
        <sz val="8"/>
        <rFont val="Arial"/>
        <family val="2"/>
      </rPr>
      <t>(12-13)</t>
    </r>
  </si>
  <si>
    <t>LONG: $533/yr after 5 yrs; $1865/yr after 10 yrs,$1999/yr after 15 yrs, $2265/yr after 20 yrs.,$2466/yr after 25  (Sr Account Clerk - Special Programs - Level 52)  Divide annual salary by 1950 (37.5 hour/week worked)</t>
  </si>
  <si>
    <t>LONG: $533/YR. AFTER 5 YRS; $1865/YR AFTER 10 YRS. $1999 AFTER 15 YRS. (Typist Clerk III - Level .51)  Divide annual salary by 1950 (37.5 hour/week worked)</t>
  </si>
  <si>
    <t>LONG: $533/yr. after 5 yrs; $1865/yr after 10 yrs, $1999 after 15 yrs, $2265 after 20yrs, $2466 after 25yrs (Account Clerk I - Level 45)  Divide annual salary by 1950 (37.5 hour/week worked)</t>
  </si>
  <si>
    <t>NO LONG.  Masters=$1144</t>
  </si>
  <si>
    <r>
      <t>ACALANES</t>
    </r>
    <r>
      <rPr>
        <vertAlign val="superscript"/>
        <sz val="8"/>
        <rFont val="Arial"/>
        <family val="2"/>
      </rPr>
      <t>(13-14)</t>
    </r>
  </si>
  <si>
    <t>NO LONG.  Masters =- $1144</t>
  </si>
  <si>
    <t>NOTES:  as of  11/01/14=24 yrs</t>
  </si>
  <si>
    <t>+Long (24yrs)</t>
  </si>
  <si>
    <t>BASED ON HIGH SCHOOL PRINCIPAL OF THE 10 BASE SCHOOL DISTRICTS</t>
  </si>
  <si>
    <t>NOTES:  as of  09/01/14 = Step 7, yr 7</t>
  </si>
  <si>
    <t>NOTES:  as of  11/01/14  Step 7, yr 2</t>
  </si>
  <si>
    <r>
      <t>ALAMEDA</t>
    </r>
    <r>
      <rPr>
        <vertAlign val="superscript"/>
        <sz val="9"/>
        <rFont val="Arial Narrow"/>
        <family val="2"/>
      </rPr>
      <t>(13-14)</t>
    </r>
  </si>
  <si>
    <r>
      <t>FREMONT</t>
    </r>
    <r>
      <rPr>
        <vertAlign val="superscript"/>
        <sz val="8"/>
        <rFont val="Arial"/>
        <family val="2"/>
      </rPr>
      <t>(13/14)</t>
    </r>
  </si>
  <si>
    <r>
      <t>ANTIOCH</t>
    </r>
    <r>
      <rPr>
        <vertAlign val="superscript"/>
        <sz val="8"/>
        <rFont val="Arial"/>
        <family val="2"/>
      </rPr>
      <t>(12-13)3</t>
    </r>
  </si>
  <si>
    <t xml:space="preserve">LONG:  AT 11yrs - 2.5%; 16yr-+3%,21yr +3.5 %(Account Technician Level 25) </t>
  </si>
  <si>
    <t xml:space="preserve">LONG:  AT 11 yr +2.5%; 16 YRS +3.0 %(Office Assistant 11 - Level 14) </t>
  </si>
  <si>
    <t>LONG:  AT 11 YR +2.5%; 16 yr +3.0%(Office Assistant I - LEVEL 10)</t>
  </si>
  <si>
    <r>
      <t>MARTINEZ</t>
    </r>
    <r>
      <rPr>
        <vertAlign val="superscript"/>
        <sz val="8"/>
        <rFont val="Arial"/>
        <family val="2"/>
      </rPr>
      <t>(13-14)</t>
    </r>
  </si>
  <si>
    <t>LONG: 11 yr +2.5%, 16 yr +5%, 20yr +7.5% (Account Technician-Level 39)</t>
  </si>
  <si>
    <t>LONG: 11yr  +2.5%, 15yr +5%  (CLERK TYPIST II - Level 28)</t>
  </si>
  <si>
    <t>LONG: 11yr + 2.5%, 16yr +5%, 21 yr +7.5% (TYPIST CLERK I - Level 26)</t>
  </si>
  <si>
    <r>
      <t>MT. DIABLO</t>
    </r>
    <r>
      <rPr>
        <vertAlign val="superscript"/>
        <sz val="6"/>
        <rFont val="Arial"/>
        <family val="2"/>
      </rPr>
      <t>(13-14)</t>
    </r>
  </si>
  <si>
    <r>
      <rPr>
        <b/>
        <sz val="8"/>
        <rFont val="Arial"/>
        <family val="2"/>
      </rPr>
      <t>next change - 25 yrs</t>
    </r>
  </si>
  <si>
    <r>
      <t>PLEASANTON</t>
    </r>
    <r>
      <rPr>
        <vertAlign val="superscript"/>
        <sz val="8"/>
        <rFont val="Arial"/>
        <family val="2"/>
      </rPr>
      <t xml:space="preserve"> (13-14)</t>
    </r>
  </si>
  <si>
    <r>
      <t>SAN RAMON</t>
    </r>
    <r>
      <rPr>
        <vertAlign val="superscript"/>
        <sz val="9"/>
        <rFont val="Arial Narrow"/>
        <family val="2"/>
      </rPr>
      <t>(13-14)</t>
    </r>
  </si>
  <si>
    <r>
      <t>SAN RAMON</t>
    </r>
    <r>
      <rPr>
        <vertAlign val="superscript"/>
        <sz val="8"/>
        <rFont val="Arial"/>
        <family val="2"/>
      </rPr>
      <t>(13-14)</t>
    </r>
  </si>
  <si>
    <r>
      <t>BASED ON THE 2013-14 SCHOOL YEAR (</t>
    </r>
    <r>
      <rPr>
        <sz val="8"/>
        <rFont val="Arial Narrow"/>
        <family val="2"/>
      </rPr>
      <t>BASED ON COMPARATIVE CLERICAL POSTIONS)</t>
    </r>
  </si>
  <si>
    <r>
      <t>WEST CC</t>
    </r>
    <r>
      <rPr>
        <vertAlign val="superscript"/>
        <sz val="8"/>
        <rFont val="Arial"/>
        <family val="2"/>
      </rPr>
      <t xml:space="preserve"> (13-14)</t>
    </r>
  </si>
  <si>
    <r>
      <t>NCS CHAMPIONSHIP EVENTS COORDINATOR</t>
    </r>
    <r>
      <rPr>
        <b/>
        <vertAlign val="superscript"/>
        <sz val="10"/>
        <rFont val="Arial"/>
        <family val="2"/>
      </rPr>
      <t xml:space="preserve"> </t>
    </r>
    <r>
      <rPr>
        <b/>
        <sz val="10"/>
        <rFont val="Arial"/>
        <family val="2"/>
      </rPr>
      <t>SALARY COMPUTATION FOR THE 2014-15 YEAR</t>
    </r>
  </si>
  <si>
    <r>
      <t xml:space="preserve">1 </t>
    </r>
    <r>
      <rPr>
        <sz val="8"/>
        <rFont val="Arial"/>
        <family val="2"/>
      </rPr>
      <t xml:space="preserve"> Employment in current position with NCS Nov 2014 on step 6 of the NCS Salary Schedule</t>
    </r>
  </si>
  <si>
    <r>
      <t xml:space="preserve">NCS SOUVENIR/ACCOUNTS RECEIVABLE CLERK SALARY COMPUTATION FOR THE 2014-15 YEAR </t>
    </r>
    <r>
      <rPr>
        <b/>
        <vertAlign val="superscript"/>
        <sz val="10"/>
        <rFont val="Arial"/>
        <family val="2"/>
      </rPr>
      <t>1</t>
    </r>
  </si>
  <si>
    <r>
      <t>SAN LEANDRO</t>
    </r>
    <r>
      <rPr>
        <vertAlign val="superscript"/>
        <sz val="8"/>
        <rFont val="Arial"/>
        <family val="2"/>
      </rPr>
      <t>(13-14)</t>
    </r>
  </si>
  <si>
    <t>6 yr 2%, 12 yr, 4% Masters=$1775</t>
  </si>
  <si>
    <t>final 05/08/14</t>
  </si>
  <si>
    <r>
      <t xml:space="preserve"> </t>
    </r>
    <r>
      <rPr>
        <b/>
        <sz val="8"/>
        <rFont val="Arial"/>
        <family val="2"/>
      </rPr>
      <t>next change - 28 yrs</t>
    </r>
  </si>
  <si>
    <r>
      <t>SAN LEANDRO</t>
    </r>
    <r>
      <rPr>
        <vertAlign val="superscript"/>
        <sz val="9"/>
        <rFont val="Arial Narrow"/>
        <family val="2"/>
      </rPr>
      <t>(13-14)</t>
    </r>
  </si>
  <si>
    <t>Average</t>
  </si>
  <si>
    <t>Total</t>
  </si>
  <si>
    <t>West CCC</t>
  </si>
  <si>
    <t>Mt Diablo</t>
  </si>
  <si>
    <t>Calculated Increase</t>
  </si>
  <si>
    <t>Base</t>
  </si>
  <si>
    <t>Year</t>
  </si>
  <si>
    <t>% to base</t>
  </si>
  <si>
    <t>Long Adjust for Laura - Accountant</t>
  </si>
  <si>
    <r>
      <t>ALAMEDA</t>
    </r>
    <r>
      <rPr>
        <vertAlign val="superscript"/>
        <sz val="8"/>
        <rFont val="Arial"/>
        <family val="2"/>
      </rPr>
      <t xml:space="preserve">(14-15) </t>
    </r>
  </si>
  <si>
    <t>Long (8)</t>
  </si>
  <si>
    <t xml:space="preserve">BASED ON EQUIVALENT POSITIONS SALARY SCHEDULES - SALARY SCHEDULES  OF THE 10 BASE SCHOOL DISTRICTS                                 </t>
  </si>
  <si>
    <t>Yr 8</t>
  </si>
  <si>
    <t>Yr 9</t>
  </si>
  <si>
    <t xml:space="preserve">Accounting Supervisor/Senior Accountant </t>
  </si>
  <si>
    <r>
      <t xml:space="preserve">BASED ON THE 2014-15 SCHOOLYEAR </t>
    </r>
    <r>
      <rPr>
        <sz val="10"/>
        <rFont val="Arial"/>
        <family val="2"/>
      </rPr>
      <t>(Based on 260 Days)</t>
    </r>
  </si>
  <si>
    <t>Mgr Accounting/Supervisor Payroll (+$1012 BA)</t>
  </si>
  <si>
    <t>LONG.: At 5yrs +1%, after12 yrs +1%, after 20 yrs +2%, BA=$1012</t>
  </si>
  <si>
    <r>
      <t>FREMONT</t>
    </r>
    <r>
      <rPr>
        <vertAlign val="superscript"/>
        <sz val="8"/>
        <rFont val="Arial"/>
        <family val="2"/>
      </rPr>
      <t>(14/15)</t>
    </r>
  </si>
  <si>
    <r>
      <t>MARTINEZ</t>
    </r>
    <r>
      <rPr>
        <vertAlign val="superscript"/>
        <sz val="8"/>
        <rFont val="Arial"/>
        <family val="2"/>
      </rPr>
      <t>(14-15)</t>
    </r>
  </si>
  <si>
    <t>as of  07/01/15 = Step 10, yr 9</t>
  </si>
  <si>
    <t>LONG. CUM. 6 yr.+2%;  9 yr +4% from hire date 06/07</t>
  </si>
  <si>
    <r>
      <t xml:space="preserve">MT DIABLO </t>
    </r>
    <r>
      <rPr>
        <vertAlign val="superscript"/>
        <sz val="8"/>
        <rFont val="Arial"/>
        <family val="2"/>
      </rPr>
      <t>(14-15)</t>
    </r>
  </si>
  <si>
    <t>No long for principals, Masters = $1000</t>
  </si>
  <si>
    <t>LONG. 3% At step 9,  3% at step 12; $200 At step 15., Masters =$2430</t>
  </si>
  <si>
    <t>LONG. 3% At step 9,  3% at step 12; $200 At step 15.</t>
  </si>
  <si>
    <t>accounting supervisor</t>
  </si>
  <si>
    <t>accounting mgr\payroll supervisor</t>
  </si>
  <si>
    <t>supervisor, accounting\payroll</t>
  </si>
  <si>
    <t>accounting supervisor\senior acct</t>
  </si>
  <si>
    <t>internal auditor</t>
  </si>
  <si>
    <t>facilities planner</t>
  </si>
  <si>
    <t>senior accountant</t>
  </si>
  <si>
    <t>coordinator</t>
  </si>
  <si>
    <t>request pending</t>
  </si>
  <si>
    <t>AVG/YR FOR 220 DAYS</t>
  </si>
  <si>
    <t>SALARY-AVG/DAY FOR 220 DAYS</t>
  </si>
  <si>
    <t>AVG/YR FOR 210.35 DAYS</t>
  </si>
  <si>
    <t>SALARY-AVG/DAY FOR 210.35 DAYS</t>
  </si>
  <si>
    <t>SALARY-AVG/DAY FOR 203.5 DAYS</t>
  </si>
  <si>
    <t>AVG/YR FOR 203.5 DAYS</t>
  </si>
  <si>
    <t>operations supervisor</t>
  </si>
  <si>
    <t xml:space="preserve">AVG/YR </t>
  </si>
  <si>
    <t>SALARY-AVG/DAY</t>
  </si>
  <si>
    <t>SALARY-AVG/YR FOR .75 FTE</t>
  </si>
  <si>
    <t xml:space="preserve">BASED ON SUPERVISOR/SENIOR ACCOUNTANT LEVEL EQUIVALENT - SALARY SCHEDULES  OF THE 10 BASE SCHOOL DISTRICTS                                 </t>
  </si>
  <si>
    <t>in process 04/13/15</t>
  </si>
  <si>
    <r>
      <t>SAN LEANDRO</t>
    </r>
    <r>
      <rPr>
        <vertAlign val="superscript"/>
        <sz val="8"/>
        <rFont val="Arial"/>
        <family val="2"/>
      </rPr>
      <t>(13-14)3</t>
    </r>
  </si>
  <si>
    <r>
      <t>ACALANES</t>
    </r>
    <r>
      <rPr>
        <vertAlign val="superscript"/>
        <sz val="8"/>
        <rFont val="Arial"/>
        <family val="2"/>
      </rPr>
      <t>(13-14)3</t>
    </r>
  </si>
  <si>
    <r>
      <t>ANTIOCH</t>
    </r>
    <r>
      <rPr>
        <vertAlign val="superscript"/>
        <sz val="8"/>
        <rFont val="Arial"/>
        <family val="2"/>
      </rPr>
      <t>(13-14)</t>
    </r>
  </si>
  <si>
    <t>Coordinator</t>
  </si>
  <si>
    <t>Supervisor, Accounting/Payroll</t>
  </si>
  <si>
    <t>Accounting Supervisor</t>
  </si>
  <si>
    <t>Internal Auditor</t>
  </si>
  <si>
    <t>Facilities Planner</t>
  </si>
  <si>
    <t>Operations Supervisor</t>
  </si>
  <si>
    <t>Senior Accountant</t>
  </si>
  <si>
    <t xml:space="preserve">NCS ACCOUNTANT SALARY COMPUTATION FOR THE 2015-16 YEAR                                                                                                                                                                          </t>
  </si>
  <si>
    <t>COMMISIONER</t>
  </si>
  <si>
    <t>2014/15</t>
  </si>
  <si>
    <t>ASSOC COMM</t>
  </si>
  <si>
    <t>ASSIT COMM</t>
  </si>
  <si>
    <t>all other steps were calculated using the avg. increase for each step of the admin staff - see -14/15  NCS Salary schedule for calculations of Steps 1-9</t>
  </si>
  <si>
    <t>Long 9</t>
  </si>
  <si>
    <t>The Accountant's salary was developed from a customized schedule to conform to the 1997-98 budget and is adjusted for each fiscal year. This adjustment is reached by taking an average percentage per step for NCS admin positions for the current school year in 2014/15 (clerical base was used from 97/98 - 13/14)</t>
  </si>
  <si>
    <t>AVERAGE OVERALL % INCREASE FOR NCS ADMIN</t>
  </si>
  <si>
    <t>ACCOUNTANT'S SALARY FOR 2014/15</t>
  </si>
  <si>
    <t>Long (9)</t>
  </si>
  <si>
    <r>
      <t>ACALANES</t>
    </r>
    <r>
      <rPr>
        <vertAlign val="superscript"/>
        <sz val="8"/>
        <rFont val="Arial"/>
        <family val="2"/>
      </rPr>
      <t>(15-16)</t>
    </r>
  </si>
  <si>
    <t>No LONG. (Director II), Masters=1144</t>
  </si>
  <si>
    <r>
      <t>ACALANES</t>
    </r>
    <r>
      <rPr>
        <vertAlign val="superscript"/>
        <sz val="8"/>
        <rFont val="Arial"/>
        <family val="2"/>
      </rPr>
      <t>(15-16</t>
    </r>
  </si>
  <si>
    <t>N0 LONG.  Masters =- $1144</t>
  </si>
  <si>
    <t>as of  08/01/16 = Step 12, yr 9, NCS serv yr 15 in '16</t>
  </si>
  <si>
    <t xml:space="preserve"> as of 8/1/16= Step 13, yr 9; ncs serv yr 20 in'16</t>
  </si>
  <si>
    <r>
      <t>ALAMEDA</t>
    </r>
    <r>
      <rPr>
        <vertAlign val="superscript"/>
        <sz val="8"/>
        <rFont val="Arial"/>
        <family val="2"/>
      </rPr>
      <t xml:space="preserve">(15-16) </t>
    </r>
  </si>
  <si>
    <t>Masters=$1562</t>
  </si>
  <si>
    <r>
      <t>ANTIOCH</t>
    </r>
    <r>
      <rPr>
        <vertAlign val="superscript"/>
        <sz val="8"/>
        <rFont val="Arial"/>
        <family val="2"/>
      </rPr>
      <t>(15-16)</t>
    </r>
  </si>
  <si>
    <t>LONG.: After 5yrs +1%, after12 yrs +1%, after 20 yrs +2%, Masters=$1421</t>
  </si>
  <si>
    <t>LONG.: At 5yrs +1%, after12 yrs +1%, after 20 yrs +2%, Masters=$1421</t>
  </si>
  <si>
    <r>
      <t>FREMONT</t>
    </r>
    <r>
      <rPr>
        <vertAlign val="superscript"/>
        <sz val="8"/>
        <rFont val="Arial"/>
        <family val="2"/>
      </rPr>
      <t>(15-16)</t>
    </r>
  </si>
  <si>
    <t>as of  09/01/16 = Step 9, yr 9</t>
  </si>
  <si>
    <t>LONG. CUM. 9 yr.+4%; 12 yr +6%,  15 yr +8% from hire date 01/01,  Masters=$1000</t>
  </si>
  <si>
    <t>LONG. CUM. 15 yr.+8%;  18 yr +10%; 21 yr +12% from hire date 2/96,  Masters=$1000</t>
  </si>
  <si>
    <t>dtd 07.31.15</t>
  </si>
  <si>
    <t>LONG. CUM. 6 yr.+2%;  9 yr +4% from hire date 09/08,  Masters=$1000</t>
  </si>
  <si>
    <r>
      <t xml:space="preserve">MT DIABLO </t>
    </r>
    <r>
      <rPr>
        <vertAlign val="superscript"/>
        <sz val="8"/>
        <rFont val="Arial"/>
        <family val="2"/>
      </rPr>
      <t>(15-16)</t>
    </r>
  </si>
  <si>
    <r>
      <t>PLEASANTON</t>
    </r>
    <r>
      <rPr>
        <vertAlign val="superscript"/>
        <sz val="8"/>
        <rFont val="Arial"/>
        <family val="2"/>
      </rPr>
      <t xml:space="preserve"> (15-16)</t>
    </r>
  </si>
  <si>
    <t>LONG = 10-14 yr - $750, 15 yr $1000</t>
  </si>
  <si>
    <r>
      <t>WEST CC</t>
    </r>
    <r>
      <rPr>
        <vertAlign val="superscript"/>
        <sz val="8"/>
        <rFont val="Arial"/>
        <family val="2"/>
      </rPr>
      <t xml:space="preserve"> (15-16)</t>
    </r>
  </si>
  <si>
    <r>
      <t>SAN LEANDRO</t>
    </r>
    <r>
      <rPr>
        <vertAlign val="superscript"/>
        <sz val="8"/>
        <rFont val="Arial"/>
        <family val="2"/>
      </rPr>
      <t>(15-16)</t>
    </r>
  </si>
  <si>
    <t>6 yr 2%, 12 yr, 4% Masters=$1903</t>
  </si>
  <si>
    <t>6 yr 2%, 12 yr, 4% Masters=$1803</t>
  </si>
  <si>
    <r>
      <t>SAN RAMON</t>
    </r>
    <r>
      <rPr>
        <vertAlign val="superscript"/>
        <sz val="8"/>
        <rFont val="Arial"/>
        <family val="2"/>
      </rPr>
      <t>(15-16)</t>
    </r>
  </si>
  <si>
    <r>
      <t xml:space="preserve">BASED ON THE 2015-16 SCHOOLYEAR </t>
    </r>
    <r>
      <rPr>
        <sz val="10"/>
        <rFont val="Arial"/>
        <family val="2"/>
      </rPr>
      <t>(Based on 240 Days)</t>
    </r>
  </si>
  <si>
    <r>
      <t>NCS COMMISSIONER SALARY COMPUTATION FOR THE 2016-17 SCHOOL YEAR</t>
    </r>
    <r>
      <rPr>
        <b/>
        <vertAlign val="superscript"/>
        <sz val="10"/>
        <rFont val="Arial"/>
        <family val="2"/>
      </rPr>
      <t>1 &amp; 2</t>
    </r>
  </si>
  <si>
    <t>LONG. 3% At step 9,  3% at step 12; $200 At step 15. Masters $2,478</t>
  </si>
  <si>
    <t>LONG. 3% At step 9,  3% at step 12; $200 At step 15., Masters =$2478</t>
  </si>
  <si>
    <t xml:space="preserve">NCS ASSISTANT COMMISSIONER SALARY COMPUTATION FOR THE 2016-17 YEAR                                                                                                                                                                          </t>
  </si>
  <si>
    <r>
      <t xml:space="preserve">BASED ON THE 2015-2016 SCHOOLYEAR </t>
    </r>
    <r>
      <rPr>
        <sz val="10"/>
        <rFont val="Arial"/>
        <family val="2"/>
      </rPr>
      <t>(Based on 220 Days)</t>
    </r>
  </si>
  <si>
    <r>
      <t>NCS ASSOCIATE COMMISSIONER</t>
    </r>
    <r>
      <rPr>
        <b/>
        <vertAlign val="superscript"/>
        <sz val="10"/>
        <rFont val="Arial"/>
        <family val="2"/>
      </rPr>
      <t xml:space="preserve">1, 2 </t>
    </r>
    <r>
      <rPr>
        <b/>
        <sz val="10"/>
        <rFont val="Arial"/>
        <family val="2"/>
      </rPr>
      <t>SALARY COMPUTATION FOR THE 2016-17 YEAR                                                                                                                                                                           BASED ON THE 2015-16 SCHOOL YEAR (Based on 240 DAYS)</t>
    </r>
  </si>
  <si>
    <t>2015/16</t>
  </si>
  <si>
    <t>ACCOUNTANT 2014/15 SALARY SCHEDULE</t>
  </si>
  <si>
    <t>AVE % INCREASE FOR 2015/16</t>
  </si>
  <si>
    <t>2015/16 SALARY SCHEDULE FOR ACCOUNTANT</t>
  </si>
  <si>
    <t>.75 FTE position - 14/15 salary</t>
  </si>
  <si>
    <t>(yr 10 as of 06/01/16)</t>
  </si>
  <si>
    <t>Long 10</t>
  </si>
  <si>
    <t>NCS ADMIN SALARY % INCREASE FROM 2014-15 TO 2015-16</t>
  </si>
  <si>
    <t>USED TO ESTABLISH ACCOUNTANT'S INCREASE FOR 2015-16 SCHOOL YEAR</t>
  </si>
  <si>
    <r>
      <t>NCS COMMISSIONER</t>
    </r>
    <r>
      <rPr>
        <sz val="8"/>
        <rFont val="Arial"/>
        <family val="2"/>
      </rPr>
      <t xml:space="preserve"> SALARY-AVG/YR</t>
    </r>
    <r>
      <rPr>
        <vertAlign val="superscript"/>
        <sz val="8"/>
        <rFont val="Arial"/>
        <family val="2"/>
      </rPr>
      <t>3</t>
    </r>
    <r>
      <rPr>
        <sz val="8"/>
        <rFont val="Arial"/>
        <family val="2"/>
      </rPr>
      <t xml:space="preserve"> FOR 240 DAYS   </t>
    </r>
  </si>
  <si>
    <r>
      <t>3</t>
    </r>
    <r>
      <rPr>
        <sz val="8"/>
        <rFont val="Arial"/>
        <family val="2"/>
      </rPr>
      <t xml:space="preserve">  The BOM on April 5, 2016 approved the NCS Commissioner Salary to be based upon 105% of the Principals salaries (adjusted to 240 work year) for the 10 base districts.</t>
    </r>
  </si>
  <si>
    <t xml:space="preserve">new base for 2016-2017 @105% of old base </t>
  </si>
  <si>
    <t>old base for 2015-2016 retro sal adj</t>
  </si>
  <si>
    <t>completed 04/18/16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</si>
</sst>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_-* #,##0.00_-;\-* #,##0.00_-;_-* &quot;-&quot;??_-;_-@_-"/>
    <numFmt numFmtId="165" formatCode="#,##0_ ;\-#,##0\ "/>
    <numFmt numFmtId="166" formatCode="#,##0.0"/>
    <numFmt numFmtId="167" formatCode="&quot;$&quot;#,##0"/>
    <numFmt numFmtId="168" formatCode="_-* #,##0_-;\-* #,##0_-;_-* &quot;-&quot;??_-;_-@_-"/>
    <numFmt numFmtId="169" formatCode="&quot;$&quot;#,##0.00"/>
    <numFmt numFmtId="170" formatCode="0.0%"/>
    <numFmt numFmtId="171" formatCode="_(&quot;$&quot;* #,##0_);_(&quot;$&quot;* \(#,##0\);_(&quot;$&quot;* &quot;-&quot;??_);_(@_)"/>
  </numFmts>
  <fonts count="36">
    <font>
      <sz val="10"/>
      <name val="Arial"/>
      <family val="2"/>
    </font>
    <font>
      <sz val="8"/>
      <name val="Arial"/>
      <family val="2"/>
    </font>
    <font>
      <b/>
      <sz val="8"/>
      <name val="Arial"/>
      <family val="2"/>
    </font>
    <font>
      <b/>
      <sz val="7"/>
      <name val="Arial"/>
      <family val="2"/>
    </font>
    <font>
      <b/>
      <sz val="10"/>
      <name val="Arial"/>
      <family val="2"/>
    </font>
    <font>
      <vertAlign val="superscript"/>
      <sz val="8"/>
      <name val="Arial"/>
      <family val="2"/>
    </font>
    <font>
      <b/>
      <vertAlign val="superscript"/>
      <sz val="8"/>
      <name val="Arial"/>
      <family val="2"/>
    </font>
    <font>
      <b/>
      <vertAlign val="superscript"/>
      <sz val="10"/>
      <name val="Arial"/>
      <family val="2"/>
    </font>
    <font>
      <sz val="7"/>
      <name val="Arial Narrow"/>
      <family val="2"/>
    </font>
    <font>
      <sz val="10"/>
      <color indexed="12"/>
      <name val="Arial"/>
      <family val="2"/>
    </font>
    <font>
      <sz val="7"/>
      <name val="Arial"/>
      <family val="2"/>
    </font>
    <font>
      <sz val="9"/>
      <name val="Arial Narrow"/>
      <family val="2"/>
    </font>
    <font>
      <sz val="8"/>
      <name val="Arial Narrow"/>
      <family val="2"/>
    </font>
    <font>
      <sz val="10"/>
      <name val="Arial Narrow"/>
      <family val="2"/>
    </font>
    <font>
      <vertAlign val="superscript"/>
      <sz val="9"/>
      <name val="Arial Narrow"/>
      <family val="2"/>
    </font>
    <font>
      <b/>
      <vertAlign val="superscript"/>
      <sz val="9"/>
      <name val="Arial Narrow"/>
      <family val="2"/>
    </font>
    <font>
      <b/>
      <sz val="9"/>
      <name val="Arial Narrow"/>
      <family val="2"/>
    </font>
    <font>
      <i/>
      <sz val="9"/>
      <name val="Arial Narrow"/>
      <family val="2"/>
    </font>
    <font>
      <vertAlign val="superscript"/>
      <sz val="10"/>
      <name val="Arial"/>
      <family val="2"/>
    </font>
    <font>
      <sz val="9"/>
      <name val="Arial"/>
      <family val="2"/>
    </font>
    <font>
      <b/>
      <vertAlign val="superscript"/>
      <sz val="9"/>
      <name val="Arial"/>
      <family val="2"/>
    </font>
    <font>
      <sz val="14"/>
      <name val="Arial"/>
      <family val="2"/>
    </font>
    <font>
      <sz val="11"/>
      <name val="Arial Narrow"/>
      <family val="2"/>
    </font>
    <font>
      <sz val="10"/>
      <name val="Univers Condensed"/>
      <family val="2"/>
    </font>
    <font>
      <b/>
      <sz val="10"/>
      <name val="Univers Condensed"/>
      <family val="2"/>
    </font>
    <font>
      <b/>
      <sz val="12"/>
      <name val="Univers Condensed"/>
      <family val="2"/>
    </font>
    <font>
      <sz val="8"/>
      <name val="Univers Condensed"/>
      <family val="2"/>
    </font>
    <font>
      <sz val="9"/>
      <name val="Tahoma"/>
      <family val="2"/>
    </font>
    <font>
      <b/>
      <sz val="9"/>
      <name val="Tahoma"/>
      <family val="2"/>
    </font>
    <font>
      <vertAlign val="superscript"/>
      <sz val="6"/>
      <name val="Arial"/>
      <family val="2"/>
    </font>
    <font>
      <sz val="10"/>
      <color rgb="FFFF0000"/>
      <name val="Arial"/>
      <family val="2"/>
    </font>
    <font>
      <sz val="10"/>
      <color rgb="FF0000FF"/>
      <name val="Arial"/>
      <family val="2"/>
    </font>
    <font>
      <b/>
      <sz val="8"/>
      <color rgb="FF0000FF"/>
      <name val="Arial"/>
      <family val="2"/>
    </font>
    <font>
      <b/>
      <sz val="10"/>
      <color rgb="FF0000FF"/>
      <name val="Arial"/>
      <family val="2"/>
    </font>
    <font>
      <b/>
      <u val="single"/>
      <sz val="10"/>
      <name val="Arial"/>
      <family val="2"/>
    </font>
    <font>
      <b/>
      <sz val="9"/>
      <name val="Univers Condensed"/>
      <family val="2"/>
    </font>
  </fonts>
  <fills count="2">
    <fill>
      <patternFill/>
    </fill>
    <fill>
      <patternFill patternType="gray125"/>
    </fill>
  </fills>
  <borders count="30">
    <border>
      <left/>
      <right/>
      <top/>
      <bottom/>
      <diagonal/>
    </border>
    <border>
      <left style="thin"/>
      <right style="thin"/>
      <top style="thin"/>
      <bottom style="thin"/>
    </border>
    <border>
      <left style="thin"/>
      <right style="thin"/>
      <top style="double"/>
      <bottom style="thin"/>
    </border>
    <border>
      <left style="thin"/>
      <right style="thin"/>
      <top/>
      <bottom/>
    </border>
    <border>
      <left style="thin"/>
      <right/>
      <top style="thin"/>
      <bottom style="thin"/>
    </border>
    <border>
      <left/>
      <right style="thin"/>
      <top style="thin"/>
      <bottom/>
    </border>
    <border>
      <left/>
      <right style="thin"/>
      <top/>
      <bottom/>
    </border>
    <border>
      <left/>
      <right/>
      <top/>
      <bottom style="thin"/>
    </border>
    <border>
      <left/>
      <right style="thin"/>
      <top/>
      <bottom style="thin"/>
    </border>
    <border>
      <left style="thin"/>
      <right style="thin"/>
      <top style="thin"/>
      <bottom/>
    </border>
    <border>
      <left/>
      <right/>
      <top style="double"/>
      <bottom/>
    </border>
    <border>
      <left style="double"/>
      <right style="thin"/>
      <top style="double"/>
      <bottom style="thin"/>
    </border>
    <border>
      <left style="thin"/>
      <right style="double"/>
      <top style="double"/>
      <bottom style="thin"/>
    </border>
    <border>
      <left style="double"/>
      <right style="thin"/>
      <top style="thin"/>
      <bottom/>
    </border>
    <border>
      <left style="thin"/>
      <right style="double"/>
      <top style="thin"/>
      <bottom/>
    </border>
    <border>
      <left style="double"/>
      <right style="thin"/>
      <top style="thin"/>
      <bottom style="thin"/>
    </border>
    <border>
      <left/>
      <right/>
      <top style="thin"/>
      <bottom style="thin"/>
    </border>
    <border>
      <left style="thin"/>
      <right style="thin"/>
      <top style="thin"/>
      <bottom style="double"/>
    </border>
    <border>
      <left style="double"/>
      <right style="thin"/>
      <top style="thin"/>
      <bottom style="double"/>
    </border>
    <border>
      <left style="double"/>
      <right style="thin"/>
      <top style="double"/>
      <bottom style="thick"/>
    </border>
    <border>
      <left style="thin"/>
      <right style="double"/>
      <top style="thin"/>
      <bottom style="thin"/>
    </border>
    <border>
      <left/>
      <right style="thin"/>
      <top/>
      <bottom style="medium"/>
    </border>
    <border>
      <left style="thin"/>
      <right style="thin"/>
      <top style="double"/>
      <bottom style="thick"/>
    </border>
    <border>
      <left/>
      <right/>
      <top style="thin"/>
      <bottom/>
    </border>
    <border>
      <left style="double"/>
      <right/>
      <top/>
      <bottom/>
    </border>
    <border>
      <left style="thin"/>
      <right/>
      <top/>
      <bottom/>
    </border>
    <border>
      <left/>
      <right/>
      <top/>
      <bottom style="double"/>
    </border>
    <border>
      <left/>
      <right style="thin"/>
      <top style="thin"/>
      <bottom style="thin"/>
    </border>
    <border>
      <left style="thin"/>
      <right/>
      <top style="thin"/>
      <bottom/>
    </border>
    <border>
      <left style="thin"/>
      <right/>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cellStyleXfs>
  <cellXfs count="243">
    <xf numFmtId="0" fontId="0" fillId="0" borderId="0" xfId="0"/>
    <xf numFmtId="0" fontId="0" fillId="0" borderId="1" xfId="0" applyBorder="1"/>
    <xf numFmtId="0" fontId="2" fillId="0" borderId="1" xfId="0" applyFont="1" applyBorder="1"/>
    <xf numFmtId="0" fontId="2" fillId="0" borderId="1" xfId="0" applyFont="1" applyFill="1" applyBorder="1"/>
    <xf numFmtId="3" fontId="0" fillId="0" borderId="1" xfId="0" applyNumberFormat="1" applyBorder="1"/>
    <xf numFmtId="0" fontId="1" fillId="0" borderId="1" xfId="0" applyFont="1" applyBorder="1" applyAlignment="1">
      <alignment wrapText="1"/>
    </xf>
    <xf numFmtId="165" fontId="0" fillId="0" borderId="1" xfId="0" applyNumberFormat="1" applyBorder="1"/>
    <xf numFmtId="166" fontId="0" fillId="0" borderId="1" xfId="0" applyNumberFormat="1" applyBorder="1"/>
    <xf numFmtId="4" fontId="0" fillId="0" borderId="1" xfId="0" applyNumberFormat="1" applyBorder="1"/>
    <xf numFmtId="0" fontId="8" fillId="0" borderId="1" xfId="0" applyFont="1" applyBorder="1" applyAlignment="1">
      <alignment wrapText="1"/>
    </xf>
    <xf numFmtId="165" fontId="8" fillId="0" borderId="1" xfId="0" applyNumberFormat="1" applyFont="1" applyBorder="1"/>
    <xf numFmtId="0" fontId="4" fillId="0" borderId="1" xfId="0" applyFont="1" applyBorder="1"/>
    <xf numFmtId="0" fontId="0" fillId="0" borderId="1" xfId="0" applyBorder="1" applyAlignment="1">
      <alignment wrapText="1"/>
    </xf>
    <xf numFmtId="167" fontId="0" fillId="0" borderId="1" xfId="0" applyNumberFormat="1" applyBorder="1"/>
    <xf numFmtId="0" fontId="2" fillId="0" borderId="1" xfId="0" applyFont="1" applyBorder="1" applyAlignment="1">
      <alignment wrapText="1"/>
    </xf>
    <xf numFmtId="3" fontId="4" fillId="0" borderId="1" xfId="0" applyNumberFormat="1" applyFont="1" applyBorder="1"/>
    <xf numFmtId="0" fontId="4" fillId="0" borderId="0" xfId="0" applyFont="1"/>
    <xf numFmtId="0" fontId="0" fillId="0" borderId="0" xfId="0" applyFont="1"/>
    <xf numFmtId="3" fontId="9" fillId="0" borderId="1" xfId="0" applyNumberFormat="1" applyFont="1" applyBorder="1"/>
    <xf numFmtId="3" fontId="0" fillId="0" borderId="1" xfId="0" applyNumberFormat="1" applyFont="1" applyBorder="1"/>
    <xf numFmtId="0" fontId="1" fillId="0" borderId="0" xfId="0" applyFont="1" applyAlignment="1">
      <alignment/>
    </xf>
    <xf numFmtId="0" fontId="0" fillId="0" borderId="0" xfId="0" applyAlignment="1">
      <alignment wrapText="1"/>
    </xf>
    <xf numFmtId="0" fontId="0" fillId="0" borderId="0" xfId="0" applyAlignment="1">
      <alignment horizontal="center"/>
    </xf>
    <xf numFmtId="0" fontId="0" fillId="0" borderId="1" xfId="0" applyBorder="1" applyAlignment="1">
      <alignment horizontal="center"/>
    </xf>
    <xf numFmtId="3" fontId="0" fillId="0" borderId="1" xfId="0" applyNumberFormat="1" applyFill="1" applyBorder="1"/>
    <xf numFmtId="0" fontId="1" fillId="0" borderId="1" xfId="0" applyFont="1" applyBorder="1"/>
    <xf numFmtId="0" fontId="4" fillId="0" borderId="1" xfId="0" applyFont="1" applyBorder="1" applyAlignment="1">
      <alignment horizontal="center"/>
    </xf>
    <xf numFmtId="0" fontId="1" fillId="0" borderId="2" xfId="0" applyFont="1" applyBorder="1"/>
    <xf numFmtId="0" fontId="0" fillId="0" borderId="2" xfId="0" applyBorder="1" applyAlignment="1">
      <alignment horizontal="center"/>
    </xf>
    <xf numFmtId="3" fontId="11" fillId="0" borderId="2" xfId="0" applyNumberFormat="1" applyFont="1" applyBorder="1"/>
    <xf numFmtId="3" fontId="12" fillId="0" borderId="2" xfId="0" applyNumberFormat="1" applyFont="1" applyBorder="1"/>
    <xf numFmtId="0" fontId="0" fillId="0" borderId="2" xfId="0" applyBorder="1"/>
    <xf numFmtId="3" fontId="11" fillId="0" borderId="1" xfId="0" applyNumberFormat="1" applyFont="1" applyBorder="1"/>
    <xf numFmtId="3" fontId="12" fillId="0" borderId="1" xfId="0" applyNumberFormat="1" applyFont="1" applyBorder="1"/>
    <xf numFmtId="0" fontId="1" fillId="0" borderId="1" xfId="0" applyFont="1" applyBorder="1" applyAlignment="1">
      <alignment horizontal="left" wrapText="1"/>
    </xf>
    <xf numFmtId="4" fontId="11" fillId="0" borderId="1" xfId="0" applyNumberFormat="1" applyFont="1" applyBorder="1"/>
    <xf numFmtId="0" fontId="0" fillId="0" borderId="1" xfId="0" applyBorder="1" applyAlignment="1">
      <alignment vertical="top" wrapText="1"/>
    </xf>
    <xf numFmtId="3" fontId="0" fillId="0" borderId="3" xfId="0" applyNumberFormat="1" applyFill="1" applyBorder="1"/>
    <xf numFmtId="2" fontId="0" fillId="0" borderId="1" xfId="0" applyNumberFormat="1" applyBorder="1"/>
    <xf numFmtId="0" fontId="0" fillId="0" borderId="0" xfId="0" applyAlignment="1">
      <alignment/>
    </xf>
    <xf numFmtId="49" fontId="4" fillId="0" borderId="1" xfId="0" applyNumberFormat="1" applyFont="1" applyBorder="1" applyAlignment="1">
      <alignment wrapText="1"/>
    </xf>
    <xf numFmtId="49" fontId="4" fillId="0" borderId="1" xfId="0" applyNumberFormat="1" applyFont="1" applyFill="1" applyBorder="1" applyAlignment="1">
      <alignment wrapText="1"/>
    </xf>
    <xf numFmtId="0" fontId="11" fillId="0" borderId="1" xfId="0" applyFont="1" applyBorder="1"/>
    <xf numFmtId="0" fontId="4" fillId="0" borderId="0" xfId="0" applyFont="1"/>
    <xf numFmtId="0" fontId="0" fillId="0" borderId="1" xfId="0" applyFill="1" applyBorder="1"/>
    <xf numFmtId="2" fontId="11" fillId="0" borderId="1" xfId="0" applyNumberFormat="1" applyFont="1" applyBorder="1"/>
    <xf numFmtId="2" fontId="11" fillId="0" borderId="4" xfId="0" applyNumberFormat="1" applyFont="1" applyBorder="1"/>
    <xf numFmtId="169" fontId="11" fillId="0" borderId="1" xfId="0" applyNumberFormat="1" applyFont="1" applyBorder="1"/>
    <xf numFmtId="169" fontId="11" fillId="0" borderId="4" xfId="0" applyNumberFormat="1" applyFont="1" applyBorder="1"/>
    <xf numFmtId="1" fontId="11" fillId="0" borderId="1" xfId="0" applyNumberFormat="1" applyFont="1" applyFill="1" applyBorder="1"/>
    <xf numFmtId="3" fontId="16" fillId="0" borderId="1" xfId="0" applyNumberFormat="1" applyFont="1"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20" fillId="0" borderId="0" xfId="0" applyFont="1" applyAlignment="1">
      <alignment/>
    </xf>
    <xf numFmtId="2" fontId="0" fillId="0" borderId="0" xfId="0" applyNumberFormat="1"/>
    <xf numFmtId="0" fontId="18" fillId="0" borderId="0" xfId="0" applyFont="1" applyBorder="1" applyAlignment="1">
      <alignment/>
    </xf>
    <xf numFmtId="0" fontId="0" fillId="0" borderId="0" xfId="0" applyBorder="1" applyAlignment="1">
      <alignment/>
    </xf>
    <xf numFmtId="0" fontId="11" fillId="0" borderId="9" xfId="0" applyFont="1" applyFill="1" applyBorder="1"/>
    <xf numFmtId="3" fontId="0" fillId="0" borderId="9" xfId="0" applyNumberFormat="1" applyBorder="1"/>
    <xf numFmtId="3" fontId="4" fillId="0" borderId="9" xfId="0" applyNumberFormat="1" applyFont="1" applyBorder="1"/>
    <xf numFmtId="0" fontId="0" fillId="0" borderId="9" xfId="0" applyBorder="1"/>
    <xf numFmtId="0" fontId="0" fillId="0" borderId="10" xfId="0" applyBorder="1"/>
    <xf numFmtId="0" fontId="21" fillId="0" borderId="0" xfId="0" applyFont="1" applyAlignment="1">
      <alignment horizontal="centerContinuous"/>
    </xf>
    <xf numFmtId="0" fontId="23" fillId="0" borderId="11" xfId="0" applyFont="1" applyBorder="1"/>
    <xf numFmtId="0" fontId="23" fillId="0" borderId="2" xfId="0" applyFont="1" applyBorder="1"/>
    <xf numFmtId="0" fontId="23" fillId="0" borderId="12" xfId="0" applyFont="1" applyBorder="1"/>
    <xf numFmtId="0" fontId="23" fillId="0" borderId="13" xfId="0" applyFont="1" applyBorder="1"/>
    <xf numFmtId="0" fontId="23" fillId="0" borderId="0" xfId="0" applyFont="1"/>
    <xf numFmtId="0" fontId="23" fillId="0" borderId="9" xfId="0" applyFont="1" applyBorder="1"/>
    <xf numFmtId="0" fontId="23" fillId="0" borderId="14" xfId="0" applyFont="1" applyBorder="1"/>
    <xf numFmtId="0" fontId="23" fillId="0" borderId="15" xfId="0" applyFont="1" applyBorder="1"/>
    <xf numFmtId="0" fontId="23" fillId="0" borderId="16" xfId="0" applyFont="1" applyBorder="1"/>
    <xf numFmtId="10" fontId="23" fillId="0" borderId="1" xfId="0" applyNumberFormat="1" applyFont="1" applyBorder="1" applyAlignment="1">
      <alignment horizontal="center"/>
    </xf>
    <xf numFmtId="0" fontId="23" fillId="0" borderId="0" xfId="0" applyFont="1" applyFill="1" applyBorder="1"/>
    <xf numFmtId="10" fontId="23" fillId="0" borderId="17" xfId="0" applyNumberFormat="1" applyFont="1" applyBorder="1" applyAlignment="1">
      <alignment horizontal="center"/>
    </xf>
    <xf numFmtId="0" fontId="23" fillId="0" borderId="15" xfId="0" applyFont="1" applyBorder="1" applyAlignment="1">
      <alignment wrapText="1"/>
    </xf>
    <xf numFmtId="0" fontId="23" fillId="0" borderId="18" xfId="0" applyFont="1" applyBorder="1" applyAlignment="1">
      <alignment wrapText="1"/>
    </xf>
    <xf numFmtId="0" fontId="24" fillId="0" borderId="19" xfId="0" applyFont="1" applyBorder="1" applyAlignment="1">
      <alignment wrapText="1"/>
    </xf>
    <xf numFmtId="0" fontId="23" fillId="0" borderId="0" xfId="0" applyFont="1" applyAlignment="1">
      <alignment horizontal="center"/>
    </xf>
    <xf numFmtId="0" fontId="23" fillId="0" borderId="2" xfId="0" applyFont="1" applyFill="1" applyBorder="1"/>
    <xf numFmtId="0" fontId="23" fillId="0" borderId="12" xfId="0" applyFont="1" applyFill="1" applyBorder="1"/>
    <xf numFmtId="2" fontId="23" fillId="0" borderId="1" xfId="0" applyNumberFormat="1" applyFont="1" applyBorder="1" applyAlignment="1">
      <alignment horizontal="right"/>
    </xf>
    <xf numFmtId="0" fontId="23" fillId="0" borderId="1" xfId="0" applyFont="1" applyBorder="1" applyAlignment="1">
      <alignment horizontal="right"/>
    </xf>
    <xf numFmtId="0" fontId="23" fillId="0" borderId="20" xfId="0" applyFont="1" applyBorder="1" applyAlignment="1">
      <alignment horizontal="right"/>
    </xf>
    <xf numFmtId="168" fontId="23" fillId="0" borderId="20" xfId="18" applyNumberFormat="1" applyFont="1" applyBorder="1" applyAlignment="1">
      <alignment horizontal="right"/>
    </xf>
    <xf numFmtId="10" fontId="23" fillId="0" borderId="1" xfId="15" applyNumberFormat="1" applyFont="1" applyBorder="1" applyAlignment="1">
      <alignment horizontal="right"/>
    </xf>
    <xf numFmtId="10" fontId="23" fillId="0" borderId="1" xfId="15" applyNumberFormat="1" applyFont="1" applyFill="1" applyBorder="1" applyAlignment="1">
      <alignment horizontal="right"/>
    </xf>
    <xf numFmtId="10" fontId="23" fillId="0" borderId="1" xfId="0" applyNumberFormat="1" applyFont="1" applyBorder="1" applyAlignment="1">
      <alignment horizontal="right"/>
    </xf>
    <xf numFmtId="10" fontId="23" fillId="0" borderId="20" xfId="0" applyNumberFormat="1" applyFont="1" applyBorder="1" applyAlignment="1">
      <alignment horizontal="right"/>
    </xf>
    <xf numFmtId="10" fontId="23" fillId="0" borderId="4" xfId="0" applyNumberFormat="1" applyFont="1" applyBorder="1" applyAlignment="1">
      <alignment horizontal="right"/>
    </xf>
    <xf numFmtId="0" fontId="25" fillId="0" borderId="18" xfId="0" applyFont="1" applyBorder="1" applyAlignment="1">
      <alignment wrapText="1"/>
    </xf>
    <xf numFmtId="2" fontId="25" fillId="0" borderId="17" xfId="0" applyNumberFormat="1" applyFont="1" applyBorder="1" applyAlignment="1">
      <alignment horizontal="right"/>
    </xf>
    <xf numFmtId="1" fontId="25" fillId="0" borderId="17" xfId="0" applyNumberFormat="1" applyFont="1" applyBorder="1" applyAlignment="1">
      <alignment horizontal="right"/>
    </xf>
    <xf numFmtId="0" fontId="23" fillId="0" borderId="0" xfId="0" applyFont="1" applyAlignment="1">
      <alignment wrapText="1"/>
    </xf>
    <xf numFmtId="0" fontId="2" fillId="0" borderId="1" xfId="0" applyFont="1" applyBorder="1" applyAlignment="1">
      <alignment horizontal="center"/>
    </xf>
    <xf numFmtId="0" fontId="2" fillId="0" borderId="1" xfId="0" applyFont="1" applyFill="1" applyBorder="1" applyAlignment="1">
      <alignment horizontal="center"/>
    </xf>
    <xf numFmtId="2" fontId="9" fillId="0" borderId="1" xfId="0" applyNumberFormat="1" applyFont="1" applyBorder="1"/>
    <xf numFmtId="0" fontId="5" fillId="0" borderId="0" xfId="0" applyFont="1" applyFill="1" applyBorder="1" applyAlignment="1">
      <alignment/>
    </xf>
    <xf numFmtId="0" fontId="0" fillId="0" borderId="7" xfId="0" applyBorder="1" applyAlignment="1">
      <alignment/>
    </xf>
    <xf numFmtId="0" fontId="0" fillId="0" borderId="7" xfId="0" applyBorder="1" applyAlignment="1">
      <alignment horizontal="right"/>
    </xf>
    <xf numFmtId="0" fontId="10" fillId="0" borderId="7" xfId="0" applyFont="1" applyBorder="1" applyAlignment="1">
      <alignment horizontal="right"/>
    </xf>
    <xf numFmtId="0" fontId="12" fillId="0" borderId="7" xfId="0" applyFont="1" applyBorder="1" applyAlignment="1">
      <alignment horizontal="right"/>
    </xf>
    <xf numFmtId="3" fontId="0" fillId="0" borderId="9" xfId="0" applyNumberFormat="1" applyFont="1" applyBorder="1"/>
    <xf numFmtId="0" fontId="8" fillId="0" borderId="7" xfId="0" applyFont="1" applyBorder="1" applyAlignment="1">
      <alignment horizontal="right"/>
    </xf>
    <xf numFmtId="0" fontId="5" fillId="0" borderId="0" xfId="0" applyFont="1" applyAlignment="1">
      <alignment vertical="top"/>
    </xf>
    <xf numFmtId="0" fontId="1" fillId="0" borderId="0" xfId="0" applyFont="1" applyAlignment="1">
      <alignment vertical="top"/>
    </xf>
    <xf numFmtId="0" fontId="26" fillId="0" borderId="0" xfId="0" applyFont="1"/>
    <xf numFmtId="2" fontId="0" fillId="0" borderId="1" xfId="0" applyNumberFormat="1" applyFont="1" applyBorder="1"/>
    <xf numFmtId="0" fontId="9" fillId="0" borderId="0" xfId="0" applyFont="1"/>
    <xf numFmtId="2" fontId="0" fillId="0" borderId="1" xfId="0" applyNumberFormat="1" applyFont="1" applyBorder="1"/>
    <xf numFmtId="0" fontId="30" fillId="0" borderId="0" xfId="0" applyFont="1"/>
    <xf numFmtId="0" fontId="1" fillId="0" borderId="1" xfId="0" applyFont="1" applyFill="1" applyBorder="1" applyAlignment="1">
      <alignment wrapText="1"/>
    </xf>
    <xf numFmtId="3" fontId="0" fillId="0" borderId="1" xfId="0" applyNumberFormat="1" applyFont="1" applyFill="1" applyBorder="1"/>
    <xf numFmtId="3" fontId="9" fillId="0" borderId="1" xfId="0" applyNumberFormat="1" applyFont="1" applyFill="1" applyBorder="1"/>
    <xf numFmtId="0" fontId="10" fillId="0" borderId="1" xfId="0" applyFont="1" applyFill="1" applyBorder="1" applyAlignment="1">
      <alignment wrapText="1"/>
    </xf>
    <xf numFmtId="0" fontId="9" fillId="0" borderId="0" xfId="0" applyFont="1"/>
    <xf numFmtId="0" fontId="0" fillId="0" borderId="1" xfId="0" applyFill="1" applyBorder="1" applyAlignment="1">
      <alignment horizontal="center"/>
    </xf>
    <xf numFmtId="0" fontId="0" fillId="0" borderId="0" xfId="0" applyFont="1" quotePrefix="1"/>
    <xf numFmtId="0" fontId="4" fillId="0" borderId="0" xfId="0" applyFont="1" quotePrefix="1"/>
    <xf numFmtId="0" fontId="0" fillId="0" borderId="0" xfId="0" applyFont="1" applyFill="1" applyBorder="1"/>
    <xf numFmtId="16" fontId="0" fillId="0" borderId="0" xfId="0" applyNumberFormat="1" quotePrefix="1"/>
    <xf numFmtId="16" fontId="0" fillId="0" borderId="0" xfId="0" applyNumberFormat="1" applyFont="1" quotePrefix="1"/>
    <xf numFmtId="0" fontId="1" fillId="0" borderId="1" xfId="0" applyFont="1" applyFill="1" applyBorder="1"/>
    <xf numFmtId="3" fontId="0" fillId="0" borderId="1" xfId="0" applyNumberFormat="1" applyFont="1" applyBorder="1"/>
    <xf numFmtId="3" fontId="9" fillId="0" borderId="1" xfId="0" applyNumberFormat="1" applyFont="1" applyBorder="1"/>
    <xf numFmtId="0" fontId="0" fillId="0" borderId="1" xfId="0" applyFont="1" applyBorder="1" applyAlignment="1">
      <alignment horizontal="center"/>
    </xf>
    <xf numFmtId="2" fontId="9" fillId="0" borderId="1" xfId="0" applyNumberFormat="1" applyFont="1" applyBorder="1"/>
    <xf numFmtId="16" fontId="0" fillId="0" borderId="0" xfId="0" applyNumberFormat="1" applyFont="1"/>
    <xf numFmtId="2" fontId="16" fillId="0" borderId="1" xfId="0" applyNumberFormat="1" applyFont="1" applyBorder="1"/>
    <xf numFmtId="0" fontId="7" fillId="0" borderId="0" xfId="0" applyFont="1" applyBorder="1" applyAlignment="1">
      <alignment/>
    </xf>
    <xf numFmtId="0" fontId="0" fillId="0" borderId="0" xfId="0" applyFill="1" applyBorder="1"/>
    <xf numFmtId="49" fontId="0" fillId="0" borderId="0" xfId="0" applyNumberFormat="1" applyFill="1" applyBorder="1" applyAlignment="1">
      <alignment wrapText="1"/>
    </xf>
    <xf numFmtId="0" fontId="8" fillId="0" borderId="0" xfId="0" applyFont="1" applyFill="1" applyBorder="1" applyAlignment="1">
      <alignment wrapText="1"/>
    </xf>
    <xf numFmtId="0" fontId="11" fillId="0" borderId="0" xfId="0" applyFont="1" applyBorder="1" applyAlignment="1">
      <alignment/>
    </xf>
    <xf numFmtId="2" fontId="12" fillId="0" borderId="0" xfId="0" applyNumberFormat="1" applyFont="1" applyBorder="1" applyAlignment="1">
      <alignment/>
    </xf>
    <xf numFmtId="0" fontId="15" fillId="0" borderId="0" xfId="0" applyFont="1" applyBorder="1" applyAlignment="1">
      <alignment vertical="top"/>
    </xf>
    <xf numFmtId="0" fontId="17" fillId="0" borderId="0" xfId="0" applyFont="1" applyBorder="1" applyAlignment="1">
      <alignment vertical="top"/>
    </xf>
    <xf numFmtId="3" fontId="31" fillId="0" borderId="1" xfId="0" applyNumberFormat="1" applyFont="1" applyFill="1" applyBorder="1"/>
    <xf numFmtId="0" fontId="32" fillId="0" borderId="1" xfId="0" applyFont="1" applyBorder="1" applyAlignment="1">
      <alignment horizontal="center"/>
    </xf>
    <xf numFmtId="0" fontId="33" fillId="0" borderId="1" xfId="0" applyFont="1" applyBorder="1" applyAlignment="1">
      <alignment horizontal="center"/>
    </xf>
    <xf numFmtId="3" fontId="31" fillId="0" borderId="1" xfId="0" applyNumberFormat="1" applyFont="1" applyBorder="1"/>
    <xf numFmtId="2" fontId="31" fillId="0" borderId="1" xfId="0" applyNumberFormat="1" applyFont="1" applyBorder="1"/>
    <xf numFmtId="3" fontId="19" fillId="0" borderId="1" xfId="0" applyNumberFormat="1" applyFont="1" applyBorder="1"/>
    <xf numFmtId="0" fontId="3" fillId="0" borderId="1" xfId="0" applyFont="1" applyBorder="1"/>
    <xf numFmtId="0" fontId="0" fillId="0" borderId="21" xfId="0" applyBorder="1"/>
    <xf numFmtId="3" fontId="0" fillId="0" borderId="9" xfId="0" applyNumberFormat="1" applyFont="1" applyBorder="1"/>
    <xf numFmtId="0" fontId="0" fillId="0" borderId="0" xfId="20">
      <alignment/>
      <protection/>
    </xf>
    <xf numFmtId="9" fontId="0" fillId="0" borderId="0" xfId="15" applyFont="1"/>
    <xf numFmtId="44" fontId="4" fillId="0" borderId="0" xfId="21" applyFont="1"/>
    <xf numFmtId="0" fontId="4" fillId="0" borderId="0" xfId="20" applyFont="1">
      <alignment/>
      <protection/>
    </xf>
    <xf numFmtId="44" fontId="0" fillId="0" borderId="16" xfId="21" applyFont="1" applyBorder="1"/>
    <xf numFmtId="44" fontId="0" fillId="0" borderId="0" xfId="21" applyFont="1"/>
    <xf numFmtId="0" fontId="34" fillId="0" borderId="0" xfId="20" applyFont="1">
      <alignment/>
      <protection/>
    </xf>
    <xf numFmtId="170" fontId="0" fillId="0" borderId="0" xfId="20" applyNumberFormat="1">
      <alignment/>
      <protection/>
    </xf>
    <xf numFmtId="170" fontId="0" fillId="0" borderId="0" xfId="15" applyNumberFormat="1" applyFont="1"/>
    <xf numFmtId="0" fontId="34" fillId="0" borderId="0" xfId="20" applyFont="1" applyAlignment="1">
      <alignment horizontal="center"/>
      <protection/>
    </xf>
    <xf numFmtId="0" fontId="24" fillId="0" borderId="0" xfId="0" applyFont="1" applyAlignment="1">
      <alignment horizontal="center"/>
    </xf>
    <xf numFmtId="171" fontId="35" fillId="0" borderId="0" xfId="0" applyNumberFormat="1" applyFont="1"/>
    <xf numFmtId="0" fontId="1" fillId="0" borderId="0" xfId="0" applyFont="1" applyAlignment="1">
      <alignment/>
    </xf>
    <xf numFmtId="0" fontId="0" fillId="0" borderId="0" xfId="0" applyFont="1"/>
    <xf numFmtId="0" fontId="0" fillId="0" borderId="0" xfId="0" applyFont="1" applyFill="1" applyBorder="1"/>
    <xf numFmtId="0" fontId="0" fillId="0" borderId="0" xfId="0" applyFont="1" quotePrefix="1"/>
    <xf numFmtId="16" fontId="0" fillId="0" borderId="0" xfId="0" applyNumberFormat="1" applyFont="1" quotePrefix="1"/>
    <xf numFmtId="3" fontId="0" fillId="0" borderId="1" xfId="0" applyNumberFormat="1" applyBorder="1" quotePrefix="1"/>
    <xf numFmtId="1" fontId="0" fillId="0" borderId="1" xfId="0" applyNumberFormat="1" applyBorder="1"/>
    <xf numFmtId="0" fontId="1" fillId="0" borderId="0" xfId="0" applyFont="1" applyAlignment="1">
      <alignment/>
    </xf>
    <xf numFmtId="0" fontId="5" fillId="0" borderId="0" xfId="0" applyFont="1" applyFill="1" applyBorder="1" applyAlignment="1">
      <alignment/>
    </xf>
    <xf numFmtId="0" fontId="0" fillId="0" borderId="0" xfId="0" applyAlignment="1">
      <alignment/>
    </xf>
    <xf numFmtId="0" fontId="0" fillId="0" borderId="0" xfId="0" applyFont="1" applyAlignment="1">
      <alignment horizontal="center"/>
    </xf>
    <xf numFmtId="168" fontId="0" fillId="0" borderId="0" xfId="18" applyNumberFormat="1"/>
    <xf numFmtId="168" fontId="23" fillId="0" borderId="22" xfId="18" applyNumberFormat="1" applyFont="1" applyBorder="1" applyAlignment="1">
      <alignment horizontal="center"/>
    </xf>
    <xf numFmtId="168" fontId="0" fillId="0" borderId="0" xfId="18" applyNumberFormat="1" applyFont="1"/>
    <xf numFmtId="10" fontId="0" fillId="0" borderId="1" xfId="0" applyNumberFormat="1" applyBorder="1"/>
    <xf numFmtId="3" fontId="1" fillId="0" borderId="1" xfId="0" applyNumberFormat="1" applyFont="1" applyBorder="1"/>
    <xf numFmtId="0" fontId="0" fillId="0" borderId="1" xfId="0" applyFont="1" applyBorder="1" applyAlignment="1">
      <alignment horizontal="center"/>
    </xf>
    <xf numFmtId="0" fontId="30" fillId="0" borderId="0" xfId="20" applyFont="1">
      <alignment/>
      <protection/>
    </xf>
    <xf numFmtId="44" fontId="33" fillId="0" borderId="0" xfId="21" applyFont="1"/>
    <xf numFmtId="165" fontId="0" fillId="0" borderId="1" xfId="0" applyNumberFormat="1" applyFont="1" applyBorder="1"/>
    <xf numFmtId="165" fontId="0" fillId="0" borderId="1" xfId="0" applyNumberFormat="1" applyFont="1" applyBorder="1" applyAlignment="1">
      <alignment wrapText="1"/>
    </xf>
    <xf numFmtId="0" fontId="5" fillId="0" borderId="0" xfId="0" applyFont="1" applyFill="1" applyBorder="1" applyAlignment="1">
      <alignment wrapText="1"/>
    </xf>
    <xf numFmtId="0" fontId="1" fillId="0" borderId="0" xfId="0" applyFont="1" applyAlignment="1">
      <alignment/>
    </xf>
    <xf numFmtId="0" fontId="5" fillId="0" borderId="0" xfId="0" applyFont="1" applyAlignment="1">
      <alignment wrapText="1"/>
    </xf>
    <xf numFmtId="0" fontId="1" fillId="0" borderId="0" xfId="0" applyFont="1" applyAlignment="1">
      <alignment wrapText="1"/>
    </xf>
    <xf numFmtId="0" fontId="4" fillId="0" borderId="0" xfId="0" applyFont="1" applyAlignment="1">
      <alignment horizontal="center" vertical="center" wrapText="1"/>
    </xf>
    <xf numFmtId="0" fontId="0" fillId="0" borderId="0" xfId="0" applyAlignment="1">
      <alignment wrapText="1"/>
    </xf>
    <xf numFmtId="14" fontId="8" fillId="0" borderId="7" xfId="0" applyNumberFormat="1" applyFont="1" applyBorder="1" applyAlignment="1">
      <alignment horizontal="right" wrapText="1"/>
    </xf>
    <xf numFmtId="0" fontId="8" fillId="0" borderId="7" xfId="0" applyFont="1" applyBorder="1" applyAlignment="1">
      <alignment horizontal="right" wrapText="1"/>
    </xf>
    <xf numFmtId="0" fontId="3" fillId="0" borderId="7" xfId="0" applyFont="1" applyBorder="1" applyAlignment="1">
      <alignment horizontal="right" wrapText="1"/>
    </xf>
    <xf numFmtId="0" fontId="4" fillId="0" borderId="0" xfId="0" applyFont="1" applyAlignment="1">
      <alignment horizontal="center"/>
    </xf>
    <xf numFmtId="0" fontId="0" fillId="0" borderId="0" xfId="0" applyAlignment="1">
      <alignment horizontal="center"/>
    </xf>
    <xf numFmtId="0" fontId="1" fillId="0" borderId="7" xfId="0" applyFont="1" applyBorder="1" applyAlignment="1">
      <alignment horizontal="center"/>
    </xf>
    <xf numFmtId="0" fontId="0" fillId="0" borderId="7" xfId="0" applyBorder="1" applyAlignment="1">
      <alignment horizontal="center"/>
    </xf>
    <xf numFmtId="0" fontId="5" fillId="0" borderId="23" xfId="0" applyFont="1" applyBorder="1" applyAlignment="1">
      <alignment wrapText="1"/>
    </xf>
    <xf numFmtId="0" fontId="8" fillId="0" borderId="7" xfId="0" applyFont="1" applyBorder="1" applyAlignment="1">
      <alignment horizontal="center" wrapText="1"/>
    </xf>
    <xf numFmtId="0" fontId="3" fillId="0" borderId="7" xfId="0" applyFont="1" applyBorder="1" applyAlignment="1">
      <alignment horizontal="center" wrapText="1"/>
    </xf>
    <xf numFmtId="0" fontId="5" fillId="0" borderId="0" xfId="0" applyFont="1" applyFill="1" applyBorder="1" applyAlignment="1">
      <alignment/>
    </xf>
    <xf numFmtId="0" fontId="0" fillId="0" borderId="0" xfId="0" applyAlignment="1">
      <alignment/>
    </xf>
    <xf numFmtId="0" fontId="0" fillId="0" borderId="7" xfId="0" applyBorder="1" applyAlignment="1">
      <alignment horizontal="right"/>
    </xf>
    <xf numFmtId="0" fontId="1" fillId="0" borderId="0" xfId="0" applyFont="1" applyBorder="1" applyAlignment="1">
      <alignment horizontal="center" wrapText="1"/>
    </xf>
    <xf numFmtId="0" fontId="0" fillId="0" borderId="0" xfId="0" applyBorder="1" applyAlignment="1">
      <alignment wrapText="1"/>
    </xf>
    <xf numFmtId="0" fontId="23" fillId="0" borderId="0" xfId="0" applyFont="1" applyBorder="1" applyAlignment="1">
      <alignment horizontal="center"/>
    </xf>
    <xf numFmtId="0" fontId="23" fillId="0" borderId="24" xfId="0" applyFont="1" applyFill="1" applyBorder="1" applyAlignment="1">
      <alignment wrapText="1"/>
    </xf>
    <xf numFmtId="0" fontId="23" fillId="0" borderId="25" xfId="0" applyFont="1" applyBorder="1" applyAlignment="1">
      <alignment wrapText="1"/>
    </xf>
    <xf numFmtId="0" fontId="23" fillId="0" borderId="0" xfId="0" applyFont="1" applyAlignment="1">
      <alignment wrapText="1"/>
    </xf>
    <xf numFmtId="0" fontId="22" fillId="0" borderId="26" xfId="0" applyFont="1" applyBorder="1" applyAlignment="1">
      <alignment horizontal="center"/>
    </xf>
    <xf numFmtId="0" fontId="0" fillId="0" borderId="26" xfId="0" applyBorder="1" applyAlignment="1">
      <alignment horizontal="center"/>
    </xf>
    <xf numFmtId="0" fontId="18" fillId="0" borderId="0" xfId="0" applyFont="1" applyAlignment="1">
      <alignment wrapText="1"/>
    </xf>
    <xf numFmtId="0" fontId="12" fillId="0" borderId="4" xfId="0" applyFont="1" applyBorder="1" applyAlignment="1">
      <alignment wrapText="1"/>
    </xf>
    <xf numFmtId="0" fontId="0" fillId="0" borderId="16" xfId="0" applyBorder="1" applyAlignment="1">
      <alignment wrapText="1"/>
    </xf>
    <xf numFmtId="0" fontId="0" fillId="0" borderId="27" xfId="0" applyBorder="1" applyAlignment="1">
      <alignment wrapText="1"/>
    </xf>
    <xf numFmtId="0" fontId="8" fillId="0" borderId="4" xfId="0" applyFont="1" applyBorder="1" applyAlignment="1">
      <alignment wrapText="1"/>
    </xf>
    <xf numFmtId="0" fontId="10" fillId="0" borderId="16" xfId="0" applyFont="1" applyBorder="1" applyAlignment="1">
      <alignment wrapText="1"/>
    </xf>
    <xf numFmtId="0" fontId="10" fillId="0" borderId="27" xfId="0" applyFont="1" applyBorder="1" applyAlignment="1">
      <alignment wrapText="1"/>
    </xf>
    <xf numFmtId="0" fontId="0" fillId="0" borderId="4" xfId="0" applyBorder="1" applyAlignment="1">
      <alignment/>
    </xf>
    <xf numFmtId="0" fontId="0" fillId="0" borderId="16" xfId="0" applyBorder="1" applyAlignment="1">
      <alignment/>
    </xf>
    <xf numFmtId="0" fontId="0" fillId="0" borderId="27" xfId="0" applyBorder="1" applyAlignment="1">
      <alignment/>
    </xf>
    <xf numFmtId="0" fontId="4" fillId="0" borderId="4" xfId="0" applyFont="1" applyBorder="1" applyAlignment="1">
      <alignment/>
    </xf>
    <xf numFmtId="16" fontId="1" fillId="0" borderId="0" xfId="0" applyNumberFormat="1" applyFont="1" applyAlignment="1" quotePrefix="1">
      <alignment horizontal="center" wrapText="1"/>
    </xf>
    <xf numFmtId="0" fontId="0" fillId="0" borderId="16" xfId="0" applyBorder="1"/>
    <xf numFmtId="0" fontId="0" fillId="0" borderId="27" xfId="0" applyBorder="1"/>
    <xf numFmtId="0" fontId="0" fillId="0" borderId="16" xfId="0" applyFont="1" applyBorder="1" applyAlignment="1">
      <alignment wrapText="1"/>
    </xf>
    <xf numFmtId="0" fontId="0" fillId="0" borderId="27" xfId="0" applyFont="1" applyBorder="1" applyAlignment="1">
      <alignment wrapText="1"/>
    </xf>
    <xf numFmtId="0" fontId="10" fillId="0" borderId="16" xfId="0" applyFont="1" applyBorder="1" applyAlignment="1">
      <alignment/>
    </xf>
    <xf numFmtId="0" fontId="10" fillId="0" borderId="27" xfId="0" applyFont="1" applyBorder="1" applyAlignment="1">
      <alignment/>
    </xf>
    <xf numFmtId="0" fontId="8" fillId="0" borderId="7" xfId="0" applyFont="1" applyBorder="1" applyAlignment="1">
      <alignment horizontal="right"/>
    </xf>
    <xf numFmtId="0" fontId="0" fillId="0" borderId="7" xfId="0" applyBorder="1" applyAlignment="1">
      <alignment/>
    </xf>
    <xf numFmtId="0" fontId="18" fillId="0" borderId="0" xfId="0" applyFont="1" applyBorder="1" applyAlignment="1">
      <alignment/>
    </xf>
    <xf numFmtId="0" fontId="0" fillId="0" borderId="0" xfId="0" applyBorder="1" applyAlignment="1">
      <alignment/>
    </xf>
    <xf numFmtId="0" fontId="0" fillId="0" borderId="28" xfId="0" applyBorder="1" applyAlignment="1">
      <alignment/>
    </xf>
    <xf numFmtId="0" fontId="0" fillId="0" borderId="23" xfId="0" applyBorder="1" applyAlignment="1">
      <alignment/>
    </xf>
    <xf numFmtId="0" fontId="0" fillId="0" borderId="5" xfId="0" applyBorder="1" applyAlignment="1">
      <alignment/>
    </xf>
    <xf numFmtId="0" fontId="0" fillId="0" borderId="29" xfId="0" applyBorder="1" applyAlignment="1">
      <alignment/>
    </xf>
    <xf numFmtId="0" fontId="0" fillId="0" borderId="8" xfId="0" applyBorder="1" applyAlignment="1">
      <alignment/>
    </xf>
    <xf numFmtId="49" fontId="8" fillId="0" borderId="4" xfId="0" applyNumberFormat="1" applyFont="1" applyBorder="1" applyAlignment="1">
      <alignment wrapText="1"/>
    </xf>
    <xf numFmtId="49" fontId="10" fillId="0" borderId="16" xfId="0" applyNumberFormat="1" applyFont="1" applyBorder="1" applyAlignment="1">
      <alignment wrapText="1"/>
    </xf>
    <xf numFmtId="49" fontId="10" fillId="0" borderId="27" xfId="0" applyNumberFormat="1" applyFont="1" applyBorder="1" applyAlignment="1">
      <alignment wrapText="1"/>
    </xf>
    <xf numFmtId="0" fontId="10" fillId="0" borderId="16" xfId="0" applyFont="1" applyBorder="1" applyAlignment="1">
      <alignment wrapText="1"/>
    </xf>
    <xf numFmtId="0" fontId="10" fillId="0" borderId="27" xfId="0" applyFont="1" applyBorder="1" applyAlignment="1">
      <alignment wrapText="1"/>
    </xf>
    <xf numFmtId="0" fontId="10" fillId="0" borderId="16" xfId="0" applyFont="1" applyBorder="1" applyAlignment="1">
      <alignment/>
    </xf>
    <xf numFmtId="0" fontId="10" fillId="0" borderId="27" xfId="0" applyFont="1" applyBorder="1" applyAlignment="1">
      <alignment/>
    </xf>
  </cellXfs>
  <cellStyles count="8">
    <cellStyle name="Normal" xfId="0"/>
    <cellStyle name="Percent" xfId="15"/>
    <cellStyle name="Currency" xfId="16"/>
    <cellStyle name="Currency [0]" xfId="17"/>
    <cellStyle name="Comma" xfId="18"/>
    <cellStyle name="Comma [0]" xfId="19"/>
    <cellStyle name="Normal 2" xfId="20"/>
    <cellStyle name="Currency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abSelected="1" workbookViewId="0" topLeftCell="A1">
      <selection activeCell="A1" sqref="A1:O1"/>
    </sheetView>
  </sheetViews>
  <sheetFormatPr defaultColWidth="9.140625" defaultRowHeight="12.75"/>
  <cols>
    <col min="1" max="1" width="18.00390625" style="0" customWidth="1"/>
    <col min="2" max="3" width="8.00390625" style="0" customWidth="1"/>
    <col min="4" max="4" width="8.57421875" style="0" customWidth="1"/>
    <col min="5" max="5" width="8.140625" style="0" customWidth="1"/>
    <col min="6" max="6" width="8.00390625" style="0" customWidth="1"/>
    <col min="7" max="7" width="7.8515625" style="0" customWidth="1"/>
    <col min="8" max="10" width="8.00390625" style="0" customWidth="1"/>
    <col min="11" max="11" width="8.140625" style="0" customWidth="1"/>
    <col min="12" max="14" width="8.00390625" style="0" customWidth="1"/>
    <col min="15" max="15" width="33.140625" style="0" customWidth="1"/>
    <col min="16" max="16" width="1.7109375" style="0" customWidth="1"/>
  </cols>
  <sheetData>
    <row r="1" spans="1:15" ht="12.75">
      <c r="A1" s="186" t="s">
        <v>226</v>
      </c>
      <c r="B1" s="186"/>
      <c r="C1" s="186"/>
      <c r="D1" s="186"/>
      <c r="E1" s="186"/>
      <c r="F1" s="186"/>
      <c r="G1" s="186"/>
      <c r="H1" s="186"/>
      <c r="I1" s="186"/>
      <c r="J1" s="187"/>
      <c r="K1" s="187"/>
      <c r="L1" s="187"/>
      <c r="M1" s="187"/>
      <c r="N1" s="187"/>
      <c r="O1" s="187"/>
    </row>
    <row r="2" spans="1:15" ht="12.75">
      <c r="A2" s="191" t="s">
        <v>225</v>
      </c>
      <c r="B2" s="192"/>
      <c r="C2" s="192"/>
      <c r="D2" s="192"/>
      <c r="E2" s="192"/>
      <c r="F2" s="192"/>
      <c r="G2" s="192"/>
      <c r="H2" s="192"/>
      <c r="I2" s="192"/>
      <c r="J2" s="192"/>
      <c r="K2" s="192"/>
      <c r="L2" s="192"/>
      <c r="M2" s="192"/>
      <c r="N2" s="192"/>
      <c r="O2" s="192"/>
    </row>
    <row r="3" spans="1:15" ht="18" customHeight="1">
      <c r="A3" s="193" t="s">
        <v>104</v>
      </c>
      <c r="B3" s="193"/>
      <c r="C3" s="193"/>
      <c r="D3" s="193"/>
      <c r="E3" s="193"/>
      <c r="F3" s="193"/>
      <c r="G3" s="193"/>
      <c r="H3" s="193"/>
      <c r="I3" s="193"/>
      <c r="J3" s="194"/>
      <c r="K3" s="194"/>
      <c r="L3" s="188" t="s">
        <v>245</v>
      </c>
      <c r="M3" s="189"/>
      <c r="N3" s="189"/>
      <c r="O3" s="190"/>
    </row>
    <row r="4" spans="1:15" ht="12.75">
      <c r="A4" s="1" t="s">
        <v>10</v>
      </c>
      <c r="B4" s="2" t="s">
        <v>9</v>
      </c>
      <c r="C4" s="97" t="s">
        <v>8</v>
      </c>
      <c r="D4" s="97" t="s">
        <v>7</v>
      </c>
      <c r="E4" s="97" t="s">
        <v>6</v>
      </c>
      <c r="F4" s="97" t="s">
        <v>5</v>
      </c>
      <c r="G4" s="97" t="s">
        <v>4</v>
      </c>
      <c r="H4" s="97" t="s">
        <v>3</v>
      </c>
      <c r="I4" s="97" t="s">
        <v>2</v>
      </c>
      <c r="J4" s="97" t="s">
        <v>1</v>
      </c>
      <c r="K4" s="97" t="s">
        <v>28</v>
      </c>
      <c r="L4" s="98" t="s">
        <v>32</v>
      </c>
      <c r="M4" s="3" t="s">
        <v>142</v>
      </c>
      <c r="N4" s="3" t="s">
        <v>199</v>
      </c>
      <c r="O4" s="146" t="s">
        <v>205</v>
      </c>
    </row>
    <row r="5" spans="1:17" ht="30" customHeight="1">
      <c r="A5" s="25" t="s">
        <v>200</v>
      </c>
      <c r="B5" s="4">
        <v>222</v>
      </c>
      <c r="C5" s="4">
        <v>127630</v>
      </c>
      <c r="D5" s="4">
        <v>129864</v>
      </c>
      <c r="E5" s="4">
        <v>132137</v>
      </c>
      <c r="F5" s="4">
        <v>134450</v>
      </c>
      <c r="G5" s="4">
        <v>136802</v>
      </c>
      <c r="H5" s="4">
        <v>139196</v>
      </c>
      <c r="I5" s="4">
        <v>141632</v>
      </c>
      <c r="J5" s="4">
        <v>144111</v>
      </c>
      <c r="K5" s="4">
        <f>+J5</f>
        <v>144111</v>
      </c>
      <c r="L5" s="4">
        <f>+K5</f>
        <v>144111</v>
      </c>
      <c r="M5" s="4">
        <f>+L5</f>
        <v>144111</v>
      </c>
      <c r="N5" s="4">
        <f>+M5</f>
        <v>144111</v>
      </c>
      <c r="O5" s="5" t="s">
        <v>99</v>
      </c>
      <c r="P5" s="162" t="s">
        <v>79</v>
      </c>
      <c r="Q5" s="162"/>
    </row>
    <row r="6" spans="1:17" ht="30" customHeight="1">
      <c r="A6" s="125" t="s">
        <v>206</v>
      </c>
      <c r="B6" s="24">
        <v>220</v>
      </c>
      <c r="C6" s="24">
        <v>101454</v>
      </c>
      <c r="D6" s="24">
        <v>106242</v>
      </c>
      <c r="E6" s="24">
        <v>111272</v>
      </c>
      <c r="F6" s="24">
        <v>116552</v>
      </c>
      <c r="G6" s="24">
        <v>122097</v>
      </c>
      <c r="H6" s="24">
        <v>127918</v>
      </c>
      <c r="I6" s="115">
        <f>+H6</f>
        <v>127918</v>
      </c>
      <c r="J6" s="24">
        <f>+I6</f>
        <v>127918</v>
      </c>
      <c r="K6" s="140">
        <v>129237</v>
      </c>
      <c r="L6" s="24">
        <f>+K6</f>
        <v>129237</v>
      </c>
      <c r="M6" s="140">
        <v>130555</v>
      </c>
      <c r="N6" s="126">
        <f>+M6</f>
        <v>130555</v>
      </c>
      <c r="O6" s="114" t="s">
        <v>207</v>
      </c>
      <c r="P6" s="162" t="s">
        <v>79</v>
      </c>
      <c r="Q6" s="17"/>
    </row>
    <row r="7" spans="1:17" s="16" customFormat="1" ht="30" customHeight="1">
      <c r="A7" s="25" t="s">
        <v>208</v>
      </c>
      <c r="B7" s="126">
        <v>220</v>
      </c>
      <c r="C7" s="126">
        <v>106186</v>
      </c>
      <c r="D7" s="126">
        <v>111561</v>
      </c>
      <c r="E7" s="126">
        <v>117209</v>
      </c>
      <c r="F7" s="126">
        <v>123142</v>
      </c>
      <c r="G7" s="126">
        <v>129375</v>
      </c>
      <c r="H7" s="126">
        <v>135925</v>
      </c>
      <c r="I7" s="126">
        <f>+H7</f>
        <v>135925</v>
      </c>
      <c r="J7" s="126">
        <f>+H7</f>
        <v>135925</v>
      </c>
      <c r="K7" s="126">
        <f>+H7</f>
        <v>135925</v>
      </c>
      <c r="L7" s="127">
        <f>+K7*1.01</f>
        <v>137284.25</v>
      </c>
      <c r="M7" s="126">
        <f>+L7</f>
        <v>137284.25</v>
      </c>
      <c r="N7" s="126">
        <f>+M7</f>
        <v>137284.25</v>
      </c>
      <c r="O7" s="5" t="s">
        <v>209</v>
      </c>
      <c r="P7" s="162" t="s">
        <v>79</v>
      </c>
      <c r="Q7" s="120"/>
    </row>
    <row r="8" spans="1:17" s="17" customFormat="1" ht="35.1" customHeight="1">
      <c r="A8" s="125" t="s">
        <v>211</v>
      </c>
      <c r="B8" s="115">
        <v>220</v>
      </c>
      <c r="C8" s="116">
        <f>D8/(E8/D8)</f>
        <v>126110.60211612246</v>
      </c>
      <c r="D8" s="116">
        <f>E8/(F8/E8)</f>
        <v>132291.81728008355</v>
      </c>
      <c r="E8" s="115">
        <v>138776</v>
      </c>
      <c r="F8" s="115">
        <v>145578</v>
      </c>
      <c r="G8" s="115">
        <v>152747</v>
      </c>
      <c r="H8" s="115">
        <v>157251</v>
      </c>
      <c r="I8" s="115">
        <v>161890</v>
      </c>
      <c r="J8" s="115">
        <v>166665</v>
      </c>
      <c r="K8" s="115">
        <f>+J8</f>
        <v>166665</v>
      </c>
      <c r="L8" s="115">
        <v>171499</v>
      </c>
      <c r="M8" s="115">
        <v>176474</v>
      </c>
      <c r="N8" s="115">
        <v>181592</v>
      </c>
      <c r="O8" s="117" t="s">
        <v>93</v>
      </c>
      <c r="P8" s="163" t="s">
        <v>79</v>
      </c>
      <c r="Q8" s="113"/>
    </row>
    <row r="9" spans="1:17" ht="35.1" customHeight="1">
      <c r="A9" s="25" t="s">
        <v>151</v>
      </c>
      <c r="B9" s="4">
        <v>218</v>
      </c>
      <c r="C9" s="4">
        <v>111875</v>
      </c>
      <c r="D9" s="4">
        <v>114672</v>
      </c>
      <c r="E9" s="4">
        <v>117539</v>
      </c>
      <c r="F9" s="4">
        <v>120477</v>
      </c>
      <c r="G9" s="4">
        <v>123489</v>
      </c>
      <c r="H9" s="4">
        <v>126576</v>
      </c>
      <c r="I9" s="4">
        <v>129741</v>
      </c>
      <c r="J9" s="4">
        <v>132984</v>
      </c>
      <c r="K9" s="4">
        <f>+J9</f>
        <v>132984</v>
      </c>
      <c r="L9" s="19">
        <f>+K9</f>
        <v>132984</v>
      </c>
      <c r="M9" s="143">
        <f>+L9*1.1</f>
        <v>146282.40000000002</v>
      </c>
      <c r="N9" s="143">
        <f>+L9*1.1</f>
        <v>146282.40000000002</v>
      </c>
      <c r="O9" s="5" t="s">
        <v>214</v>
      </c>
      <c r="P9" s="163" t="s">
        <v>79</v>
      </c>
      <c r="Q9" s="165" t="s">
        <v>215</v>
      </c>
    </row>
    <row r="10" spans="1:17" s="16" customFormat="1" ht="35.1" customHeight="1">
      <c r="A10" s="25" t="s">
        <v>217</v>
      </c>
      <c r="B10" s="126">
        <v>222</v>
      </c>
      <c r="C10" s="126">
        <v>95298</v>
      </c>
      <c r="D10" s="126">
        <v>100255</v>
      </c>
      <c r="E10" s="126">
        <v>105470</v>
      </c>
      <c r="F10" s="126">
        <v>110956</v>
      </c>
      <c r="G10" s="126">
        <v>116728</v>
      </c>
      <c r="H10" s="19">
        <v>122802</v>
      </c>
      <c r="I10" s="126">
        <v>129188</v>
      </c>
      <c r="J10" s="126">
        <f>+I10</f>
        <v>129188</v>
      </c>
      <c r="K10" s="126">
        <f>+J10</f>
        <v>129188</v>
      </c>
      <c r="L10" s="126">
        <f>+K10</f>
        <v>129188</v>
      </c>
      <c r="M10" s="126">
        <f>+L10</f>
        <v>129188</v>
      </c>
      <c r="N10" s="126">
        <f>+L10</f>
        <v>129188</v>
      </c>
      <c r="O10" s="5" t="s">
        <v>155</v>
      </c>
      <c r="P10" s="163" t="s">
        <v>79</v>
      </c>
      <c r="Q10" s="113"/>
    </row>
    <row r="11" spans="1:17" ht="35.1" customHeight="1">
      <c r="A11" s="25" t="s">
        <v>218</v>
      </c>
      <c r="B11" s="4">
        <v>220</v>
      </c>
      <c r="C11" s="19">
        <v>138896</v>
      </c>
      <c r="D11" s="19">
        <v>141675</v>
      </c>
      <c r="E11" s="19">
        <v>144508</v>
      </c>
      <c r="F11" s="19">
        <v>147398</v>
      </c>
      <c r="G11" s="19">
        <v>150346</v>
      </c>
      <c r="H11" s="19">
        <v>153355</v>
      </c>
      <c r="I11" s="19">
        <f aca="true" t="shared" si="0" ref="I11:L13">+H11</f>
        <v>153355</v>
      </c>
      <c r="J11" s="19">
        <f t="shared" si="0"/>
        <v>153355</v>
      </c>
      <c r="K11" s="19">
        <f t="shared" si="0"/>
        <v>153355</v>
      </c>
      <c r="L11" s="19">
        <f t="shared" si="0"/>
        <v>153355</v>
      </c>
      <c r="M11" s="18">
        <f>+L11*1.05</f>
        <v>161022.75</v>
      </c>
      <c r="N11" s="126">
        <f>+M11</f>
        <v>161022.75</v>
      </c>
      <c r="O11" s="5" t="s">
        <v>12</v>
      </c>
      <c r="P11" s="163" t="s">
        <v>79</v>
      </c>
      <c r="Q11" s="17"/>
    </row>
    <row r="12" spans="1:16" ht="35.1" customHeight="1">
      <c r="A12" s="25" t="s">
        <v>220</v>
      </c>
      <c r="B12" s="4">
        <v>220</v>
      </c>
      <c r="C12" s="4">
        <v>103388</v>
      </c>
      <c r="D12" s="4">
        <v>109469</v>
      </c>
      <c r="E12" s="4">
        <v>115551</v>
      </c>
      <c r="F12" s="4">
        <v>121632</v>
      </c>
      <c r="G12" s="4">
        <f>+F12</f>
        <v>121632</v>
      </c>
      <c r="H12" s="4">
        <f>+G12</f>
        <v>121632</v>
      </c>
      <c r="I12" s="4">
        <f t="shared" si="0"/>
        <v>121632</v>
      </c>
      <c r="J12" s="4">
        <f t="shared" si="0"/>
        <v>121632</v>
      </c>
      <c r="K12" s="4">
        <f t="shared" si="0"/>
        <v>121632</v>
      </c>
      <c r="L12" s="4">
        <f>+K12</f>
        <v>121632</v>
      </c>
      <c r="M12" s="4">
        <f>+L12+1000</f>
        <v>122632</v>
      </c>
      <c r="N12" s="4">
        <f>+L12+1000</f>
        <v>122632</v>
      </c>
      <c r="O12" s="5" t="s">
        <v>219</v>
      </c>
      <c r="P12" s="163" t="s">
        <v>79</v>
      </c>
    </row>
    <row r="13" spans="1:17" ht="35.1" customHeight="1">
      <c r="A13" s="25" t="s">
        <v>221</v>
      </c>
      <c r="B13" s="4">
        <v>220</v>
      </c>
      <c r="C13" s="4">
        <v>130122</v>
      </c>
      <c r="D13" s="4">
        <v>136177</v>
      </c>
      <c r="E13" s="4">
        <v>142517</v>
      </c>
      <c r="F13" s="4">
        <v>149154</v>
      </c>
      <c r="G13" s="4">
        <v>156104</v>
      </c>
      <c r="H13" s="19">
        <f>+G13</f>
        <v>156104</v>
      </c>
      <c r="I13" s="4">
        <f t="shared" si="0"/>
        <v>156104</v>
      </c>
      <c r="J13" s="4">
        <f t="shared" si="0"/>
        <v>156104</v>
      </c>
      <c r="K13" s="4">
        <f t="shared" si="0"/>
        <v>156104</v>
      </c>
      <c r="L13" s="18">
        <f>+K13*1.02</f>
        <v>159226.08000000002</v>
      </c>
      <c r="M13" s="143">
        <f>+K13*1.04</f>
        <v>162348.16</v>
      </c>
      <c r="N13" s="126">
        <f>+M13</f>
        <v>162348.16</v>
      </c>
      <c r="O13" s="5" t="s">
        <v>222</v>
      </c>
      <c r="P13" s="163" t="s">
        <v>79</v>
      </c>
      <c r="Q13" s="17"/>
    </row>
    <row r="14" spans="1:17" ht="35.1" customHeight="1">
      <c r="A14" s="25" t="s">
        <v>224</v>
      </c>
      <c r="B14" s="4">
        <v>218</v>
      </c>
      <c r="C14" s="19">
        <v>124000</v>
      </c>
      <c r="D14" s="19">
        <v>126480</v>
      </c>
      <c r="E14" s="19">
        <v>129010</v>
      </c>
      <c r="F14" s="19">
        <v>131590</v>
      </c>
      <c r="G14" s="19">
        <v>134222</v>
      </c>
      <c r="H14" s="19">
        <v>139906</v>
      </c>
      <c r="I14" s="19">
        <f>+H14</f>
        <v>139906</v>
      </c>
      <c r="J14" s="19">
        <f>+I14</f>
        <v>139906</v>
      </c>
      <c r="K14" s="19">
        <v>139644</v>
      </c>
      <c r="L14" s="19">
        <f>+K14</f>
        <v>139644</v>
      </c>
      <c r="M14" s="19">
        <v>142437</v>
      </c>
      <c r="N14" s="19">
        <f>+M14</f>
        <v>142437</v>
      </c>
      <c r="O14" s="5" t="s">
        <v>156</v>
      </c>
      <c r="P14" s="163" t="s">
        <v>79</v>
      </c>
      <c r="Q14" s="124"/>
    </row>
    <row r="15" spans="1:15" ht="12.75">
      <c r="A15" s="9" t="s">
        <v>0</v>
      </c>
      <c r="B15" s="10">
        <f>SUM(B13+B14+B12+B11+B10+B9+B8+B7+B6+B5)</f>
        <v>2200</v>
      </c>
      <c r="C15" s="10">
        <f>SUM(C5:C14)</f>
        <v>1164959.6021161224</v>
      </c>
      <c r="D15" s="10">
        <f aca="true" t="shared" si="1" ref="D15:L15">SUM(D5:D14)</f>
        <v>1208686.8172800834</v>
      </c>
      <c r="E15" s="10">
        <f t="shared" si="1"/>
        <v>1253989</v>
      </c>
      <c r="F15" s="10">
        <f t="shared" si="1"/>
        <v>1300929</v>
      </c>
      <c r="G15" s="10">
        <f t="shared" si="1"/>
        <v>1343542</v>
      </c>
      <c r="H15" s="10">
        <f t="shared" si="1"/>
        <v>1380665</v>
      </c>
      <c r="I15" s="10">
        <f t="shared" si="1"/>
        <v>1397291</v>
      </c>
      <c r="J15" s="10">
        <f t="shared" si="1"/>
        <v>1407788</v>
      </c>
      <c r="K15" s="10">
        <f t="shared" si="1"/>
        <v>1408845</v>
      </c>
      <c r="L15" s="10">
        <f t="shared" si="1"/>
        <v>1418160.33</v>
      </c>
      <c r="M15" s="10">
        <f>SUM(M5:M14)</f>
        <v>1452334.5599999998</v>
      </c>
      <c r="N15" s="10">
        <f>SUM(N5:N14)</f>
        <v>1457452.5599999998</v>
      </c>
      <c r="O15" s="6"/>
    </row>
    <row r="16" spans="1:15" ht="22.5">
      <c r="A16" s="5" t="s">
        <v>167</v>
      </c>
      <c r="B16" s="7">
        <f>B15/10</f>
        <v>220</v>
      </c>
      <c r="C16" s="4">
        <f>C15/10</f>
        <v>116495.96021161224</v>
      </c>
      <c r="D16" s="4">
        <f aca="true" t="shared" si="2" ref="D16:K16">D15/10</f>
        <v>120868.68172800835</v>
      </c>
      <c r="E16" s="4">
        <f t="shared" si="2"/>
        <v>125398.9</v>
      </c>
      <c r="F16" s="4">
        <f t="shared" si="2"/>
        <v>130092.9</v>
      </c>
      <c r="G16" s="4">
        <f t="shared" si="2"/>
        <v>134354.2</v>
      </c>
      <c r="H16" s="4">
        <f t="shared" si="2"/>
        <v>138066.5</v>
      </c>
      <c r="I16" s="4">
        <f t="shared" si="2"/>
        <v>139729.1</v>
      </c>
      <c r="J16" s="4">
        <f t="shared" si="2"/>
        <v>140778.8</v>
      </c>
      <c r="K16" s="4">
        <f t="shared" si="2"/>
        <v>140884.5</v>
      </c>
      <c r="L16" s="4">
        <f>L15/10</f>
        <v>141816.033</v>
      </c>
      <c r="M16" s="4">
        <f>M15/10</f>
        <v>145233.45599999998</v>
      </c>
      <c r="N16" s="4">
        <f>N15/10</f>
        <v>145745.256</v>
      </c>
      <c r="O16" s="6"/>
    </row>
    <row r="17" spans="1:15" ht="22.5">
      <c r="A17" s="5" t="s">
        <v>168</v>
      </c>
      <c r="B17" s="6"/>
      <c r="C17" s="8">
        <f>C16/$B16</f>
        <v>529.5270918709647</v>
      </c>
      <c r="D17" s="8">
        <f aca="true" t="shared" si="3" ref="D17:N17">D16/$B16</f>
        <v>549.4030987636743</v>
      </c>
      <c r="E17" s="8">
        <f t="shared" si="3"/>
        <v>569.995</v>
      </c>
      <c r="F17" s="8">
        <f t="shared" si="3"/>
        <v>591.3313636363636</v>
      </c>
      <c r="G17" s="8">
        <f t="shared" si="3"/>
        <v>610.7009090909091</v>
      </c>
      <c r="H17" s="8">
        <f t="shared" si="3"/>
        <v>627.575</v>
      </c>
      <c r="I17" s="8">
        <f t="shared" si="3"/>
        <v>635.1322727272727</v>
      </c>
      <c r="J17" s="8">
        <f t="shared" si="3"/>
        <v>639.9036363636363</v>
      </c>
      <c r="K17" s="8">
        <f t="shared" si="3"/>
        <v>640.3840909090909</v>
      </c>
      <c r="L17" s="8">
        <f t="shared" si="3"/>
        <v>644.6183318181818</v>
      </c>
      <c r="M17" s="8">
        <f t="shared" si="3"/>
        <v>660.1520727272726</v>
      </c>
      <c r="N17" s="8">
        <f t="shared" si="3"/>
        <v>662.4784363636363</v>
      </c>
      <c r="O17" s="6"/>
    </row>
    <row r="18" spans="1:15" ht="33.75">
      <c r="A18" s="14" t="s">
        <v>27</v>
      </c>
      <c r="B18" s="6">
        <v>240</v>
      </c>
      <c r="C18" s="4">
        <f>C17*$B18</f>
        <v>127086.50204903152</v>
      </c>
      <c r="D18" s="4">
        <f aca="true" t="shared" si="4" ref="D18:L18">D17*$B18</f>
        <v>131856.74370328183</v>
      </c>
      <c r="E18" s="4">
        <f t="shared" si="4"/>
        <v>136798.8</v>
      </c>
      <c r="F18" s="4">
        <f t="shared" si="4"/>
        <v>141919.52727272725</v>
      </c>
      <c r="G18" s="4">
        <f t="shared" si="4"/>
        <v>146568.2181818182</v>
      </c>
      <c r="H18" s="4">
        <f t="shared" si="4"/>
        <v>150618</v>
      </c>
      <c r="I18" s="4">
        <f t="shared" si="4"/>
        <v>152431.74545454545</v>
      </c>
      <c r="J18" s="4">
        <f t="shared" si="4"/>
        <v>153576.8727272727</v>
      </c>
      <c r="K18" s="4">
        <f t="shared" si="4"/>
        <v>153692.18181818182</v>
      </c>
      <c r="L18" s="4">
        <f t="shared" si="4"/>
        <v>154708.39963636364</v>
      </c>
      <c r="M18" s="15">
        <f>M17*$B18</f>
        <v>158436.49745454543</v>
      </c>
      <c r="N18" s="19">
        <f>N17*$B18</f>
        <v>158994.82472727273</v>
      </c>
      <c r="O18" s="180" t="s">
        <v>244</v>
      </c>
    </row>
    <row r="19" spans="1:15" ht="33.75">
      <c r="A19" s="14" t="s">
        <v>241</v>
      </c>
      <c r="B19" s="6">
        <v>240</v>
      </c>
      <c r="C19" s="4">
        <f aca="true" t="shared" si="5" ref="C19:N19">+C18*1.05</f>
        <v>133440.8271514831</v>
      </c>
      <c r="D19" s="4">
        <f t="shared" si="5"/>
        <v>138449.58088844593</v>
      </c>
      <c r="E19" s="4">
        <f t="shared" si="5"/>
        <v>143638.74</v>
      </c>
      <c r="F19" s="4">
        <f t="shared" si="5"/>
        <v>149015.50363636363</v>
      </c>
      <c r="G19" s="4">
        <f t="shared" si="5"/>
        <v>153896.62909090912</v>
      </c>
      <c r="H19" s="4">
        <f t="shared" si="5"/>
        <v>158148.9</v>
      </c>
      <c r="I19" s="4">
        <f t="shared" si="5"/>
        <v>160053.33272727273</v>
      </c>
      <c r="J19" s="4">
        <f t="shared" si="5"/>
        <v>161255.71636363634</v>
      </c>
      <c r="K19" s="4">
        <f t="shared" si="5"/>
        <v>161376.79090909092</v>
      </c>
      <c r="L19" s="4">
        <f t="shared" si="5"/>
        <v>162443.81961818182</v>
      </c>
      <c r="M19" s="19">
        <f t="shared" si="5"/>
        <v>166358.3223272727</v>
      </c>
      <c r="N19" s="15">
        <f t="shared" si="5"/>
        <v>166944.56596363639</v>
      </c>
      <c r="O19" s="181" t="s">
        <v>243</v>
      </c>
    </row>
    <row r="20" spans="1:15" ht="24.75" customHeight="1">
      <c r="A20" s="184" t="s">
        <v>11</v>
      </c>
      <c r="B20" s="185"/>
      <c r="C20" s="185"/>
      <c r="D20" s="185"/>
      <c r="E20" s="185"/>
      <c r="F20" s="185"/>
      <c r="G20" s="185"/>
      <c r="H20" s="185"/>
      <c r="I20" s="185"/>
      <c r="J20" s="185"/>
      <c r="K20" s="185"/>
      <c r="L20" s="185"/>
      <c r="M20" s="185"/>
      <c r="N20" s="185"/>
      <c r="O20" s="185"/>
    </row>
    <row r="21" spans="1:15" ht="12.75">
      <c r="A21" s="182" t="s">
        <v>29</v>
      </c>
      <c r="B21" s="183"/>
      <c r="C21" s="183"/>
      <c r="D21" s="183"/>
      <c r="E21" s="183"/>
      <c r="F21" s="183"/>
      <c r="G21" s="183"/>
      <c r="H21" s="183"/>
      <c r="I21" s="183"/>
      <c r="J21" s="183"/>
      <c r="K21" s="183"/>
      <c r="L21" s="183"/>
      <c r="M21" s="183"/>
      <c r="N21" s="183"/>
      <c r="O21" s="183"/>
    </row>
    <row r="22" spans="1:18" ht="12.75">
      <c r="A22" s="100" t="s">
        <v>242</v>
      </c>
      <c r="B22" s="39"/>
      <c r="C22" s="39"/>
      <c r="D22" s="100"/>
      <c r="E22" s="39"/>
      <c r="F22" s="39"/>
      <c r="G22" s="39"/>
      <c r="H22" s="39"/>
      <c r="I22" s="20"/>
      <c r="J22" s="20"/>
      <c r="K22" s="20"/>
      <c r="L22" s="20"/>
      <c r="M22" s="20"/>
      <c r="N22" s="20"/>
      <c r="O22" s="20"/>
      <c r="P22" s="20"/>
      <c r="Q22" s="20"/>
      <c r="R22" s="20"/>
    </row>
    <row r="23" spans="1:18" ht="12.75">
      <c r="A23" s="169"/>
      <c r="B23" s="170"/>
      <c r="C23" s="170"/>
      <c r="D23" s="169"/>
      <c r="E23" s="170"/>
      <c r="F23" s="170"/>
      <c r="G23" s="170"/>
      <c r="H23" s="170"/>
      <c r="I23" s="168"/>
      <c r="J23" s="168"/>
      <c r="K23" s="168"/>
      <c r="L23" s="168"/>
      <c r="M23" s="168"/>
      <c r="N23" s="168"/>
      <c r="O23" s="168"/>
      <c r="P23" s="168"/>
      <c r="Q23" s="168"/>
      <c r="R23" s="168"/>
    </row>
    <row r="24" spans="1:2" ht="12.75">
      <c r="A24" s="11" t="s">
        <v>18</v>
      </c>
      <c r="B24" s="11" t="s">
        <v>13</v>
      </c>
    </row>
    <row r="25" spans="1:2" ht="12.75">
      <c r="A25" s="1" t="s">
        <v>14</v>
      </c>
      <c r="B25" s="13">
        <v>1144</v>
      </c>
    </row>
    <row r="26" spans="1:2" ht="12.75">
      <c r="A26" s="1" t="s">
        <v>15</v>
      </c>
      <c r="B26" s="13">
        <v>1562</v>
      </c>
    </row>
    <row r="27" spans="1:2" ht="12.75">
      <c r="A27" s="1" t="s">
        <v>16</v>
      </c>
      <c r="B27" s="13">
        <v>1421</v>
      </c>
    </row>
    <row r="28" spans="1:2" ht="12.75">
      <c r="A28" s="1" t="s">
        <v>17</v>
      </c>
      <c r="B28" s="13">
        <v>0</v>
      </c>
    </row>
    <row r="29" spans="1:2" ht="12.75">
      <c r="A29" s="1" t="s">
        <v>19</v>
      </c>
      <c r="B29" s="13">
        <v>1000</v>
      </c>
    </row>
    <row r="30" spans="1:2" ht="12.75">
      <c r="A30" s="1" t="s">
        <v>20</v>
      </c>
      <c r="B30" s="13">
        <v>1000</v>
      </c>
    </row>
    <row r="31" spans="1:2" ht="12.75">
      <c r="A31" s="1" t="s">
        <v>21</v>
      </c>
      <c r="B31" s="13">
        <v>1300</v>
      </c>
    </row>
    <row r="32" spans="1:2" ht="12.75">
      <c r="A32" s="1" t="s">
        <v>22</v>
      </c>
      <c r="B32" s="13">
        <v>0</v>
      </c>
    </row>
    <row r="33" spans="1:2" ht="12.75">
      <c r="A33" s="1" t="s">
        <v>23</v>
      </c>
      <c r="B33" s="13">
        <v>1903</v>
      </c>
    </row>
    <row r="34" spans="1:2" ht="12.75">
      <c r="A34" s="1" t="s">
        <v>24</v>
      </c>
      <c r="B34" s="13">
        <v>2478</v>
      </c>
    </row>
    <row r="35" spans="1:2" ht="12.75">
      <c r="A35" s="1" t="s">
        <v>25</v>
      </c>
      <c r="B35" s="13">
        <f>SUM(B25:B34)/10</f>
        <v>1180.8</v>
      </c>
    </row>
    <row r="36" spans="1:2" ht="25.5">
      <c r="A36" s="12" t="s">
        <v>26</v>
      </c>
      <c r="B36" s="13">
        <f>SUM(B35)/24</f>
        <v>49.199999999999996</v>
      </c>
    </row>
  </sheetData>
  <mergeCells count="6">
    <mergeCell ref="A21:O21"/>
    <mergeCell ref="A20:O20"/>
    <mergeCell ref="A1:O1"/>
    <mergeCell ref="L3:O3"/>
    <mergeCell ref="A2:O2"/>
    <mergeCell ref="A3:K3"/>
  </mergeCells>
  <printOptions/>
  <pageMargins left="0.25" right="0.25" top="1.08" bottom="0.78" header="0.5" footer="0.5"/>
  <pageSetup fitToHeight="2" fitToWidth="2" horizontalDpi="600" verticalDpi="600" orientation="landscape" scale="83" r:id="rId1"/>
  <headerFooter alignWithMargins="0">
    <oddFooter>&amp;L&amp;Z&amp;F</oddFooter>
  </headerFooter>
  <rowBreaks count="1" manualBreakCount="1">
    <brk id="23"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9"/>
  <sheetViews>
    <sheetView workbookViewId="0" topLeftCell="A1">
      <selection activeCell="D19" sqref="D19"/>
    </sheetView>
  </sheetViews>
  <sheetFormatPr defaultColWidth="9.140625" defaultRowHeight="12.75"/>
  <cols>
    <col min="1" max="1" width="18.00390625" style="0" customWidth="1"/>
    <col min="2" max="2" width="8.421875" style="0" customWidth="1"/>
    <col min="3" max="3" width="7.7109375" style="0" customWidth="1"/>
    <col min="4" max="4" width="9.00390625" style="0" customWidth="1"/>
    <col min="5" max="6" width="7.8515625" style="0" customWidth="1"/>
    <col min="7" max="7" width="8.7109375" style="0" customWidth="1"/>
    <col min="8" max="8" width="9.140625" style="0" bestFit="1" customWidth="1"/>
    <col min="9" max="9" width="10.421875" style="0" bestFit="1" customWidth="1"/>
    <col min="10" max="10" width="8.8515625" style="0" customWidth="1"/>
    <col min="11" max="11" width="9.7109375" style="0" customWidth="1"/>
    <col min="12" max="12" width="10.57421875" style="0" bestFit="1" customWidth="1"/>
    <col min="13" max="13" width="8.421875" style="0" bestFit="1" customWidth="1"/>
    <col min="14" max="14" width="8.28125" style="0" bestFit="1" customWidth="1"/>
    <col min="15" max="15" width="28.28125" style="0" customWidth="1"/>
    <col min="16" max="16" width="2.7109375" style="0" customWidth="1"/>
  </cols>
  <sheetData>
    <row r="1" spans="1:15" ht="12.75" customHeight="1">
      <c r="A1" s="186" t="s">
        <v>189</v>
      </c>
      <c r="B1" s="186"/>
      <c r="C1" s="186"/>
      <c r="D1" s="186"/>
      <c r="E1" s="186"/>
      <c r="F1" s="186"/>
      <c r="G1" s="186"/>
      <c r="H1" s="186"/>
      <c r="I1" s="186"/>
      <c r="J1" s="187"/>
      <c r="K1" s="187"/>
      <c r="L1" s="187"/>
      <c r="M1" s="187"/>
      <c r="N1" s="187"/>
      <c r="O1" s="187"/>
    </row>
    <row r="2" spans="1:15" ht="12.75">
      <c r="A2" s="191" t="s">
        <v>147</v>
      </c>
      <c r="B2" s="192"/>
      <c r="C2" s="192"/>
      <c r="D2" s="192"/>
      <c r="E2" s="192"/>
      <c r="F2" s="192"/>
      <c r="G2" s="192"/>
      <c r="H2" s="192"/>
      <c r="I2" s="192"/>
      <c r="J2" s="192"/>
      <c r="K2" s="192"/>
      <c r="L2" s="192"/>
      <c r="M2" s="192"/>
      <c r="N2" s="192"/>
      <c r="O2" s="192"/>
    </row>
    <row r="3" spans="1:15" ht="18" customHeight="1">
      <c r="A3" s="201" t="s">
        <v>177</v>
      </c>
      <c r="B3" s="201"/>
      <c r="C3" s="201"/>
      <c r="D3" s="201"/>
      <c r="E3" s="201"/>
      <c r="F3" s="201"/>
      <c r="G3" s="201"/>
      <c r="H3" s="201"/>
      <c r="I3" s="201"/>
      <c r="J3" s="202"/>
      <c r="K3" s="202"/>
      <c r="L3" s="202"/>
      <c r="M3" s="202"/>
      <c r="N3" s="202"/>
      <c r="O3" s="202"/>
    </row>
    <row r="4" spans="11:15" ht="9.75" customHeight="1">
      <c r="K4" s="189" t="s">
        <v>178</v>
      </c>
      <c r="L4" s="200"/>
      <c r="M4" s="200"/>
      <c r="N4" s="200"/>
      <c r="O4" s="200"/>
    </row>
    <row r="5" spans="1:15" ht="12.75">
      <c r="A5" s="1" t="s">
        <v>10</v>
      </c>
      <c r="B5" s="2"/>
      <c r="C5" s="141" t="s">
        <v>8</v>
      </c>
      <c r="D5" s="97" t="s">
        <v>7</v>
      </c>
      <c r="E5" s="97" t="s">
        <v>6</v>
      </c>
      <c r="F5" s="97" t="s">
        <v>5</v>
      </c>
      <c r="G5" s="97" t="s">
        <v>4</v>
      </c>
      <c r="H5" s="97" t="s">
        <v>3</v>
      </c>
      <c r="I5" s="97" t="s">
        <v>2</v>
      </c>
      <c r="J5" s="97" t="s">
        <v>1</v>
      </c>
      <c r="K5" s="97" t="s">
        <v>28</v>
      </c>
      <c r="L5" s="98" t="s">
        <v>32</v>
      </c>
      <c r="M5" s="98" t="s">
        <v>144</v>
      </c>
      <c r="N5" s="98" t="s">
        <v>145</v>
      </c>
      <c r="O5" s="2" t="s">
        <v>152</v>
      </c>
    </row>
    <row r="6" spans="1:17" ht="12.75">
      <c r="A6" s="25" t="s">
        <v>180</v>
      </c>
      <c r="B6" s="166"/>
      <c r="C6" s="4">
        <v>65448</v>
      </c>
      <c r="D6" s="4">
        <v>68423</v>
      </c>
      <c r="E6" s="4">
        <v>71398</v>
      </c>
      <c r="F6" s="4">
        <v>74373</v>
      </c>
      <c r="G6" s="4">
        <v>77348</v>
      </c>
      <c r="H6" s="4">
        <v>79330</v>
      </c>
      <c r="I6" s="4">
        <v>83297</v>
      </c>
      <c r="J6" s="4">
        <f>+$I6</f>
        <v>83297</v>
      </c>
      <c r="K6" s="4">
        <f aca="true" t="shared" si="0" ref="K6:N6">+$I6</f>
        <v>83297</v>
      </c>
      <c r="L6" s="4">
        <f t="shared" si="0"/>
        <v>83297</v>
      </c>
      <c r="M6" s="4">
        <f t="shared" si="0"/>
        <v>83297</v>
      </c>
      <c r="N6" s="4">
        <f t="shared" si="0"/>
        <v>83297</v>
      </c>
      <c r="O6" s="36" t="s">
        <v>101</v>
      </c>
      <c r="P6" s="17"/>
      <c r="Q6" s="162" t="s">
        <v>165</v>
      </c>
    </row>
    <row r="7" spans="1:17" ht="12.75">
      <c r="A7" s="125" t="s">
        <v>141</v>
      </c>
      <c r="B7" s="4"/>
      <c r="C7" s="4">
        <v>65056.45</v>
      </c>
      <c r="D7" s="4">
        <v>68042.71</v>
      </c>
      <c r="E7" s="4">
        <v>71178.74</v>
      </c>
      <c r="F7" s="4">
        <v>74471.45</v>
      </c>
      <c r="G7" s="4">
        <v>77928.79</v>
      </c>
      <c r="H7" s="4">
        <v>81559.05</v>
      </c>
      <c r="I7" s="4">
        <v>82411.97</v>
      </c>
      <c r="J7" s="4">
        <f>+I7</f>
        <v>82411.97</v>
      </c>
      <c r="K7" s="4">
        <f>+J7</f>
        <v>82411.97</v>
      </c>
      <c r="L7" s="4">
        <v>83264.89</v>
      </c>
      <c r="M7" s="4">
        <f>+L7</f>
        <v>83264.89</v>
      </c>
      <c r="N7" s="4">
        <f>+M7</f>
        <v>83264.89</v>
      </c>
      <c r="O7" s="114"/>
      <c r="P7" s="162" t="s">
        <v>79</v>
      </c>
      <c r="Q7" s="162" t="s">
        <v>161</v>
      </c>
    </row>
    <row r="8" spans="1:17" s="16" customFormat="1" ht="22.5">
      <c r="A8" s="25" t="s">
        <v>181</v>
      </c>
      <c r="B8" s="126"/>
      <c r="C8" s="19">
        <f>5112.81*12</f>
        <v>61353.72</v>
      </c>
      <c r="D8" s="126">
        <f>5371.65*12</f>
        <v>64459.799999999996</v>
      </c>
      <c r="E8" s="126">
        <f>5643.59*12</f>
        <v>67723.08</v>
      </c>
      <c r="F8" s="126">
        <f>5929.29*12</f>
        <v>71151.48</v>
      </c>
      <c r="G8" s="126">
        <f>6229.47*12</f>
        <v>74753.64</v>
      </c>
      <c r="H8" s="126">
        <f>6544.83*12</f>
        <v>78537.95999999999</v>
      </c>
      <c r="I8" s="126">
        <f>+H8</f>
        <v>78537.95999999999</v>
      </c>
      <c r="J8" s="126">
        <f>+I8</f>
        <v>78537.95999999999</v>
      </c>
      <c r="K8" s="126">
        <f>+J8</f>
        <v>78537.95999999999</v>
      </c>
      <c r="L8" s="126">
        <f>+K8</f>
        <v>78537.95999999999</v>
      </c>
      <c r="M8" s="126">
        <f>+L8*1.01+1012</f>
        <v>80335.33959999999</v>
      </c>
      <c r="N8" s="126">
        <f>+L8*1.01+1012</f>
        <v>80335.33959999999</v>
      </c>
      <c r="O8" s="5" t="s">
        <v>149</v>
      </c>
      <c r="P8" s="17" t="s">
        <v>79</v>
      </c>
      <c r="Q8" s="164" t="s">
        <v>159</v>
      </c>
    </row>
    <row r="9" spans="1:17" ht="18.75">
      <c r="A9" s="125" t="s">
        <v>150</v>
      </c>
      <c r="B9" s="24"/>
      <c r="C9" s="116">
        <f>D9/(E9/D9)</f>
        <v>86570.94093902387</v>
      </c>
      <c r="D9" s="116">
        <f>E9/(F9/E9)</f>
        <v>90767.26687712969</v>
      </c>
      <c r="E9" s="24">
        <v>95167</v>
      </c>
      <c r="F9" s="24">
        <v>99780</v>
      </c>
      <c r="G9" s="24">
        <v>104620</v>
      </c>
      <c r="H9" s="24">
        <v>107166</v>
      </c>
      <c r="I9" s="24">
        <v>109771</v>
      </c>
      <c r="J9" s="24">
        <v>112432</v>
      </c>
      <c r="K9" s="24">
        <v>115170</v>
      </c>
      <c r="L9" s="24">
        <v>118510</v>
      </c>
      <c r="M9" s="24">
        <f>+L9</f>
        <v>118510</v>
      </c>
      <c r="N9" s="24">
        <f>+L9</f>
        <v>118510</v>
      </c>
      <c r="O9" s="117" t="s">
        <v>93</v>
      </c>
      <c r="P9" s="162" t="s">
        <v>79</v>
      </c>
      <c r="Q9" s="162" t="s">
        <v>160</v>
      </c>
    </row>
    <row r="10" spans="1:17" ht="22.5">
      <c r="A10" s="25" t="s">
        <v>151</v>
      </c>
      <c r="B10" s="4"/>
      <c r="C10" s="4">
        <v>50711</v>
      </c>
      <c r="D10" s="4">
        <v>53500</v>
      </c>
      <c r="E10" s="4">
        <v>56416</v>
      </c>
      <c r="F10" s="4">
        <v>59499</v>
      </c>
      <c r="G10" s="4">
        <v>62748</v>
      </c>
      <c r="H10" s="4">
        <v>66176</v>
      </c>
      <c r="I10" s="4">
        <v>69796</v>
      </c>
      <c r="J10" s="4">
        <v>73609</v>
      </c>
      <c r="K10" s="4">
        <f>+J10</f>
        <v>73609</v>
      </c>
      <c r="L10" s="4">
        <f>+K10</f>
        <v>73609</v>
      </c>
      <c r="M10" s="18">
        <f>+L10*1.02</f>
        <v>75081.18000000001</v>
      </c>
      <c r="N10" s="18">
        <f>+L10*1.04</f>
        <v>76553.36</v>
      </c>
      <c r="O10" s="5" t="s">
        <v>153</v>
      </c>
      <c r="P10" s="162" t="s">
        <v>79</v>
      </c>
      <c r="Q10" s="123" t="s">
        <v>158</v>
      </c>
    </row>
    <row r="11" spans="1:17" s="16" customFormat="1" ht="22.5">
      <c r="A11" s="25" t="s">
        <v>154</v>
      </c>
      <c r="B11" s="126"/>
      <c r="C11" s="126">
        <v>64566</v>
      </c>
      <c r="D11" s="126">
        <v>67801</v>
      </c>
      <c r="E11" s="126">
        <v>71180</v>
      </c>
      <c r="F11" s="126">
        <v>74747</v>
      </c>
      <c r="G11" s="126">
        <v>78488</v>
      </c>
      <c r="H11" s="127">
        <f>+G11*1.01</f>
        <v>79272.88</v>
      </c>
      <c r="I11" s="126">
        <f>+H11</f>
        <v>79272.88</v>
      </c>
      <c r="J11" s="127">
        <f>+I11*1.01</f>
        <v>80065.6088</v>
      </c>
      <c r="K11" s="126">
        <f>+J11</f>
        <v>80065.6088</v>
      </c>
      <c r="L11" s="126">
        <f>+K11</f>
        <v>80065.6088</v>
      </c>
      <c r="M11" s="126">
        <f>+L11</f>
        <v>80065.6088</v>
      </c>
      <c r="N11" s="126">
        <f>+L11</f>
        <v>80065.6088</v>
      </c>
      <c r="O11" s="5" t="s">
        <v>81</v>
      </c>
      <c r="P11" s="162" t="s">
        <v>79</v>
      </c>
      <c r="Q11" s="165" t="s">
        <v>162</v>
      </c>
    </row>
    <row r="12" spans="1:17" ht="33.75">
      <c r="A12" s="25" t="s">
        <v>119</v>
      </c>
      <c r="B12" s="4"/>
      <c r="C12" s="4" t="s">
        <v>166</v>
      </c>
      <c r="D12" s="4"/>
      <c r="E12" s="4"/>
      <c r="F12" s="4"/>
      <c r="G12" s="143"/>
      <c r="H12" s="18"/>
      <c r="I12" s="4"/>
      <c r="J12" s="4"/>
      <c r="K12" s="4"/>
      <c r="L12" s="18"/>
      <c r="M12" s="4"/>
      <c r="N12" s="4"/>
      <c r="O12" s="5" t="s">
        <v>37</v>
      </c>
      <c r="P12" s="17"/>
      <c r="Q12" s="17"/>
    </row>
    <row r="13" spans="1:17" ht="12.75">
      <c r="A13" s="25" t="s">
        <v>123</v>
      </c>
      <c r="B13" s="4"/>
      <c r="C13" s="4">
        <v>62982</v>
      </c>
      <c r="D13" s="4">
        <v>66687</v>
      </c>
      <c r="E13" s="4">
        <v>70391</v>
      </c>
      <c r="F13" s="4">
        <v>74096</v>
      </c>
      <c r="G13" s="4">
        <f>+$F13</f>
        <v>74096</v>
      </c>
      <c r="H13" s="4">
        <f aca="true" t="shared" si="1" ref="H13:N13">+$F13</f>
        <v>74096</v>
      </c>
      <c r="I13" s="4">
        <f t="shared" si="1"/>
        <v>74096</v>
      </c>
      <c r="J13" s="4">
        <f t="shared" si="1"/>
        <v>74096</v>
      </c>
      <c r="K13" s="4">
        <f t="shared" si="1"/>
        <v>74096</v>
      </c>
      <c r="L13" s="4">
        <f t="shared" si="1"/>
        <v>74096</v>
      </c>
      <c r="M13" s="4">
        <f t="shared" si="1"/>
        <v>74096</v>
      </c>
      <c r="N13" s="4">
        <f t="shared" si="1"/>
        <v>74096</v>
      </c>
      <c r="O13" s="5" t="s">
        <v>84</v>
      </c>
      <c r="P13" s="162" t="s">
        <v>79</v>
      </c>
      <c r="Q13" t="s">
        <v>163</v>
      </c>
    </row>
    <row r="14" spans="1:17" ht="12.75">
      <c r="A14" s="25" t="s">
        <v>179</v>
      </c>
      <c r="B14" s="4"/>
      <c r="C14" s="4">
        <v>74489</v>
      </c>
      <c r="D14" s="4">
        <v>77787</v>
      </c>
      <c r="E14" s="4">
        <v>81234</v>
      </c>
      <c r="F14" s="4">
        <v>84836</v>
      </c>
      <c r="G14" s="4">
        <v>88599</v>
      </c>
      <c r="H14" s="127">
        <f>+G14*1.02</f>
        <v>90370.98</v>
      </c>
      <c r="I14" s="4">
        <f>+H14</f>
        <v>90370.98</v>
      </c>
      <c r="J14" s="4">
        <f>+I14</f>
        <v>90370.98</v>
      </c>
      <c r="K14" s="4">
        <f>+J14</f>
        <v>90370.98</v>
      </c>
      <c r="L14" s="4">
        <f>+K14</f>
        <v>90370.98</v>
      </c>
      <c r="M14" s="4">
        <f>+J14</f>
        <v>90370.98</v>
      </c>
      <c r="N14" s="4">
        <f>+K14</f>
        <v>90370.98</v>
      </c>
      <c r="O14" s="5" t="s">
        <v>128</v>
      </c>
      <c r="P14" s="162" t="s">
        <v>79</v>
      </c>
      <c r="Q14" s="162" t="s">
        <v>173</v>
      </c>
    </row>
    <row r="15" spans="1:17" ht="22.5">
      <c r="A15" s="25" t="s">
        <v>121</v>
      </c>
      <c r="B15" s="4"/>
      <c r="C15" s="19">
        <v>67135</v>
      </c>
      <c r="D15" s="19">
        <v>70490</v>
      </c>
      <c r="E15" s="19">
        <v>74015</v>
      </c>
      <c r="F15" s="19">
        <v>77715</v>
      </c>
      <c r="G15" s="19">
        <v>81600</v>
      </c>
      <c r="H15" s="19">
        <v>85680</v>
      </c>
      <c r="I15" s="19">
        <f>+H15</f>
        <v>85680</v>
      </c>
      <c r="J15" s="19">
        <f>+I15</f>
        <v>85680</v>
      </c>
      <c r="K15" s="19">
        <v>88253</v>
      </c>
      <c r="L15" s="19">
        <f>+K15</f>
        <v>88253</v>
      </c>
      <c r="M15" s="19">
        <f>+L15</f>
        <v>88253</v>
      </c>
      <c r="N15" s="19">
        <f>+M15</f>
        <v>88253</v>
      </c>
      <c r="O15" s="5" t="s">
        <v>157</v>
      </c>
      <c r="P15" s="162" t="s">
        <v>79</v>
      </c>
      <c r="Q15" s="165" t="s">
        <v>164</v>
      </c>
    </row>
    <row r="16" spans="1:15" ht="12.75">
      <c r="A16" s="25" t="s">
        <v>0</v>
      </c>
      <c r="B16" s="1"/>
      <c r="C16" s="4">
        <f>SUM(C6:C15)</f>
        <v>598312.1109390238</v>
      </c>
      <c r="D16" s="4">
        <f aca="true" t="shared" si="2" ref="D16:N16">SUM(D6:D15)</f>
        <v>627957.7768771297</v>
      </c>
      <c r="E16" s="4">
        <f t="shared" si="2"/>
        <v>658702.8200000001</v>
      </c>
      <c r="F16" s="4">
        <f t="shared" si="2"/>
        <v>690668.9299999999</v>
      </c>
      <c r="G16" s="145">
        <f t="shared" si="2"/>
        <v>720181.4299999999</v>
      </c>
      <c r="H16" s="4">
        <f t="shared" si="2"/>
        <v>742188.87</v>
      </c>
      <c r="I16" s="4">
        <f t="shared" si="2"/>
        <v>753233.79</v>
      </c>
      <c r="J16" s="4">
        <f t="shared" si="2"/>
        <v>760500.5188</v>
      </c>
      <c r="K16" s="4">
        <f t="shared" si="2"/>
        <v>765811.5188</v>
      </c>
      <c r="L16" s="4">
        <f t="shared" si="2"/>
        <v>770004.4387999999</v>
      </c>
      <c r="M16" s="4">
        <f t="shared" si="2"/>
        <v>773273.9983999999</v>
      </c>
      <c r="N16" s="4">
        <f t="shared" si="2"/>
        <v>774746.1784</v>
      </c>
      <c r="O16" s="1"/>
    </row>
    <row r="17" spans="1:15" ht="12.75">
      <c r="A17" s="5" t="s">
        <v>174</v>
      </c>
      <c r="B17" s="167">
        <v>260</v>
      </c>
      <c r="C17" s="4">
        <f>C16/9</f>
        <v>66479.1234376693</v>
      </c>
      <c r="D17" s="4">
        <f aca="true" t="shared" si="3" ref="D17:N17">D16/9</f>
        <v>69773.08631968108</v>
      </c>
      <c r="E17" s="4">
        <f t="shared" si="3"/>
        <v>73189.20222222223</v>
      </c>
      <c r="F17" s="4">
        <f t="shared" si="3"/>
        <v>76740.99222222221</v>
      </c>
      <c r="G17" s="4">
        <f t="shared" si="3"/>
        <v>80020.15888888888</v>
      </c>
      <c r="H17" s="4">
        <f t="shared" si="3"/>
        <v>82465.43</v>
      </c>
      <c r="I17" s="4">
        <f t="shared" si="3"/>
        <v>83692.64333333334</v>
      </c>
      <c r="J17" s="4">
        <f t="shared" si="3"/>
        <v>84500.05764444445</v>
      </c>
      <c r="K17" s="4">
        <f t="shared" si="3"/>
        <v>85090.16875555555</v>
      </c>
      <c r="L17" s="4">
        <f t="shared" si="3"/>
        <v>85556.04875555554</v>
      </c>
      <c r="M17" s="4">
        <f t="shared" si="3"/>
        <v>85919.33315555555</v>
      </c>
      <c r="N17" s="4">
        <f t="shared" si="3"/>
        <v>86082.90871111111</v>
      </c>
      <c r="O17" s="1"/>
    </row>
    <row r="18" spans="1:15" ht="24.75" customHeight="1">
      <c r="A18" s="5" t="s">
        <v>175</v>
      </c>
      <c r="B18" s="1"/>
      <c r="C18" s="8">
        <f>C17/$B17</f>
        <v>255.6889362987281</v>
      </c>
      <c r="D18" s="8">
        <f aca="true" t="shared" si="4" ref="D18:N18">D17/$B17</f>
        <v>268.3580243064657</v>
      </c>
      <c r="E18" s="8">
        <f t="shared" si="4"/>
        <v>281.49693162393163</v>
      </c>
      <c r="F18" s="8">
        <f t="shared" si="4"/>
        <v>295.15766239316235</v>
      </c>
      <c r="G18" s="8">
        <f t="shared" si="4"/>
        <v>307.76984188034186</v>
      </c>
      <c r="H18" s="8">
        <f t="shared" si="4"/>
        <v>317.17473076923073</v>
      </c>
      <c r="I18" s="8">
        <f t="shared" si="4"/>
        <v>321.8947820512821</v>
      </c>
      <c r="J18" s="8">
        <f t="shared" si="4"/>
        <v>325.0002217094017</v>
      </c>
      <c r="K18" s="8">
        <f t="shared" si="4"/>
        <v>327.26987982905985</v>
      </c>
      <c r="L18" s="8">
        <f t="shared" si="4"/>
        <v>329.06172598290595</v>
      </c>
      <c r="M18" s="8">
        <f t="shared" si="4"/>
        <v>330.45897367521366</v>
      </c>
      <c r="N18" s="8">
        <f t="shared" si="4"/>
        <v>331.08811042735044</v>
      </c>
      <c r="O18" s="1"/>
    </row>
    <row r="19" spans="1:15" ht="39" customHeight="1">
      <c r="A19" s="5" t="s">
        <v>176</v>
      </c>
      <c r="B19" s="1">
        <v>260</v>
      </c>
      <c r="C19" s="4">
        <f>C18*$B19*0.75</f>
        <v>49859.34257825198</v>
      </c>
      <c r="D19" s="4">
        <f aca="true" t="shared" si="5" ref="D19:N19">D18*$B19*0.75</f>
        <v>52329.81473976081</v>
      </c>
      <c r="E19" s="4">
        <f t="shared" si="5"/>
        <v>54891.90166666667</v>
      </c>
      <c r="F19" s="4">
        <f t="shared" si="5"/>
        <v>57555.74416666666</v>
      </c>
      <c r="G19" s="4">
        <f t="shared" si="5"/>
        <v>60015.11916666666</v>
      </c>
      <c r="H19" s="4">
        <f t="shared" si="5"/>
        <v>61849.072499999995</v>
      </c>
      <c r="I19" s="4">
        <f t="shared" si="5"/>
        <v>62769.482500000006</v>
      </c>
      <c r="J19" s="4">
        <f t="shared" si="5"/>
        <v>63375.04323333333</v>
      </c>
      <c r="K19" s="4">
        <f t="shared" si="5"/>
        <v>63817.626566666666</v>
      </c>
      <c r="L19" s="4">
        <f t="shared" si="5"/>
        <v>64167.03656666666</v>
      </c>
      <c r="M19" s="15">
        <f t="shared" si="5"/>
        <v>64439.499866666665</v>
      </c>
      <c r="N19" s="15">
        <f t="shared" si="5"/>
        <v>64562.181533333336</v>
      </c>
      <c r="O19" s="1"/>
    </row>
    <row r="20" ht="9.75" customHeight="1"/>
    <row r="21" ht="7.5" customHeight="1">
      <c r="L21" t="s">
        <v>38</v>
      </c>
    </row>
    <row r="22" spans="1:15" ht="14.25" customHeight="1">
      <c r="A22" s="198" t="s">
        <v>30</v>
      </c>
      <c r="B22" s="199"/>
      <c r="C22" s="199"/>
      <c r="D22" s="199"/>
      <c r="E22" s="199"/>
      <c r="F22" s="161"/>
      <c r="G22" s="161"/>
      <c r="H22" s="161"/>
      <c r="I22" s="161"/>
      <c r="J22" s="161"/>
      <c r="K22" s="161"/>
      <c r="L22" s="161"/>
      <c r="M22" s="161"/>
      <c r="N22" s="161"/>
      <c r="O22" s="161"/>
    </row>
    <row r="23" spans="1:15" ht="14.25" customHeight="1">
      <c r="A23" s="107"/>
      <c r="B23" s="108"/>
      <c r="C23" s="108"/>
      <c r="D23" s="108"/>
      <c r="E23" s="108"/>
      <c r="F23" s="108"/>
      <c r="G23" s="108"/>
      <c r="H23" s="108"/>
      <c r="I23" s="108"/>
      <c r="J23" s="108"/>
      <c r="K23" s="108"/>
      <c r="L23" s="108"/>
      <c r="M23" s="108"/>
      <c r="N23" s="108"/>
      <c r="O23" s="108"/>
    </row>
    <row r="24" ht="8.25" customHeight="1"/>
    <row r="25" spans="1:8" ht="12.75">
      <c r="A25" s="11" t="s">
        <v>18</v>
      </c>
      <c r="D25" s="198"/>
      <c r="E25" s="199"/>
      <c r="F25" s="199"/>
      <c r="G25" s="199"/>
      <c r="H25" s="199"/>
    </row>
    <row r="26" spans="1:2" ht="12.75">
      <c r="A26" s="1" t="s">
        <v>14</v>
      </c>
      <c r="B26" s="162" t="s">
        <v>182</v>
      </c>
    </row>
    <row r="27" spans="1:2" ht="12.75">
      <c r="A27" s="1" t="s">
        <v>15</v>
      </c>
      <c r="B27" t="s">
        <v>146</v>
      </c>
    </row>
    <row r="28" spans="1:2" ht="12.75">
      <c r="A28" s="1" t="s">
        <v>16</v>
      </c>
      <c r="B28" t="s">
        <v>148</v>
      </c>
    </row>
    <row r="29" spans="1:2" ht="12.75">
      <c r="A29" s="1" t="s">
        <v>17</v>
      </c>
      <c r="B29" s="162" t="s">
        <v>183</v>
      </c>
    </row>
    <row r="30" spans="1:2" ht="12.75">
      <c r="A30" s="1" t="s">
        <v>19</v>
      </c>
      <c r="B30" s="162" t="s">
        <v>184</v>
      </c>
    </row>
    <row r="31" spans="1:2" ht="12.75">
      <c r="A31" s="1" t="s">
        <v>20</v>
      </c>
      <c r="B31" s="162" t="s">
        <v>185</v>
      </c>
    </row>
    <row r="32" ht="12.75">
      <c r="A32" s="1" t="s">
        <v>21</v>
      </c>
    </row>
    <row r="33" spans="1:2" ht="12.75">
      <c r="A33" s="1" t="s">
        <v>22</v>
      </c>
      <c r="B33" s="162" t="s">
        <v>186</v>
      </c>
    </row>
    <row r="34" spans="1:2" ht="12.75">
      <c r="A34" s="1" t="s">
        <v>23</v>
      </c>
      <c r="B34" s="162" t="s">
        <v>187</v>
      </c>
    </row>
    <row r="35" spans="1:2" ht="12.75">
      <c r="A35" s="1" t="s">
        <v>24</v>
      </c>
      <c r="B35" s="162" t="s">
        <v>188</v>
      </c>
    </row>
    <row r="36" ht="12.75">
      <c r="A36" s="1" t="s">
        <v>25</v>
      </c>
    </row>
    <row r="37" spans="1:2" ht="25.5">
      <c r="A37" s="12" t="s">
        <v>26</v>
      </c>
      <c r="B37" s="13">
        <f>SUM(B36)/24</f>
        <v>0</v>
      </c>
    </row>
    <row r="39" spans="1:12" ht="12.75">
      <c r="A39" s="2" t="s">
        <v>88</v>
      </c>
      <c r="C39" s="4">
        <v>77942</v>
      </c>
      <c r="D39" s="4">
        <v>81582</v>
      </c>
      <c r="E39" s="37">
        <v>85405</v>
      </c>
      <c r="F39" s="4">
        <v>89415</v>
      </c>
      <c r="G39" s="4">
        <v>93632</v>
      </c>
      <c r="H39" s="4">
        <v>98057</v>
      </c>
      <c r="I39" s="4">
        <v>100090</v>
      </c>
      <c r="J39" s="4">
        <f>+I39</f>
        <v>100090</v>
      </c>
      <c r="K39" s="4">
        <f>+I39</f>
        <v>100090</v>
      </c>
      <c r="L39" s="4">
        <v>101106</v>
      </c>
    </row>
  </sheetData>
  <mergeCells count="6">
    <mergeCell ref="D25:H25"/>
    <mergeCell ref="A1:O1"/>
    <mergeCell ref="A2:O2"/>
    <mergeCell ref="A3:O3"/>
    <mergeCell ref="K4:O4"/>
    <mergeCell ref="A22:E22"/>
  </mergeCells>
  <printOptions/>
  <pageMargins left="0.25" right="0.25" top="0.75" bottom="1" header="0.5" footer="0.5"/>
  <pageSetup fitToHeight="2" fitToWidth="2" horizontalDpi="600" verticalDpi="600" orientation="landscape" scale="84" r:id="rId3"/>
  <headerFooter alignWithMargins="0">
    <oddFooter>&amp;L&amp;Z&amp;F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workbookViewId="0" topLeftCell="A1">
      <selection activeCell="N3" sqref="N3"/>
    </sheetView>
  </sheetViews>
  <sheetFormatPr defaultColWidth="9.140625" defaultRowHeight="12.75"/>
  <cols>
    <col min="1" max="1" width="17.00390625" style="0" customWidth="1"/>
    <col min="2" max="2" width="7.28125" style="0" customWidth="1"/>
    <col min="3" max="3" width="7.57421875" style="0" customWidth="1"/>
    <col min="4" max="4" width="7.7109375" style="0" customWidth="1"/>
    <col min="5" max="5" width="7.28125" style="0" customWidth="1"/>
    <col min="6" max="9" width="7.7109375" style="0" customWidth="1"/>
    <col min="10" max="10" width="8.140625" style="0" customWidth="1"/>
    <col min="11" max="14" width="7.7109375" style="0" customWidth="1"/>
    <col min="15" max="15" width="36.00390625" style="0" customWidth="1"/>
    <col min="16" max="16" width="2.7109375" style="0" customWidth="1"/>
  </cols>
  <sheetData>
    <row r="1" spans="1:15" ht="32.25" customHeight="1">
      <c r="A1" s="186" t="s">
        <v>231</v>
      </c>
      <c r="B1" s="186"/>
      <c r="C1" s="186"/>
      <c r="D1" s="186"/>
      <c r="E1" s="186"/>
      <c r="F1" s="186"/>
      <c r="G1" s="186"/>
      <c r="H1" s="186"/>
      <c r="I1" s="186"/>
      <c r="J1" s="187"/>
      <c r="K1" s="187"/>
      <c r="L1" s="187"/>
      <c r="M1" s="187"/>
      <c r="N1" s="187"/>
      <c r="O1" s="187"/>
    </row>
    <row r="2" spans="1:17" ht="12.75" customHeight="1">
      <c r="A2" s="193" t="s">
        <v>31</v>
      </c>
      <c r="B2" s="193"/>
      <c r="C2" s="193"/>
      <c r="D2" s="193"/>
      <c r="E2" s="193"/>
      <c r="F2" s="193"/>
      <c r="G2" s="193"/>
      <c r="H2" s="193"/>
      <c r="I2" s="193"/>
      <c r="J2" s="194"/>
      <c r="K2" s="194"/>
      <c r="L2" s="194"/>
      <c r="M2" s="194"/>
      <c r="N2" s="196" t="s">
        <v>245</v>
      </c>
      <c r="O2" s="196"/>
      <c r="P2" s="196"/>
      <c r="Q2" s="197"/>
    </row>
    <row r="3" spans="1:15" ht="12.75">
      <c r="A3" s="1" t="s">
        <v>10</v>
      </c>
      <c r="B3" s="2" t="s">
        <v>9</v>
      </c>
      <c r="C3" s="97" t="s">
        <v>8</v>
      </c>
      <c r="D3" s="97" t="s">
        <v>7</v>
      </c>
      <c r="E3" s="97" t="s">
        <v>6</v>
      </c>
      <c r="F3" s="97" t="s">
        <v>5</v>
      </c>
      <c r="G3" s="97" t="s">
        <v>4</v>
      </c>
      <c r="H3" s="97" t="s">
        <v>3</v>
      </c>
      <c r="I3" s="97" t="s">
        <v>2</v>
      </c>
      <c r="J3" s="97" t="s">
        <v>1</v>
      </c>
      <c r="K3" s="97" t="s">
        <v>28</v>
      </c>
      <c r="L3" s="98" t="s">
        <v>32</v>
      </c>
      <c r="M3" s="3" t="s">
        <v>142</v>
      </c>
      <c r="N3" s="3" t="s">
        <v>199</v>
      </c>
      <c r="O3" s="146" t="s">
        <v>204</v>
      </c>
    </row>
    <row r="4" spans="1:17" ht="12.75">
      <c r="A4" s="25" t="s">
        <v>200</v>
      </c>
      <c r="B4" s="23">
        <v>217</v>
      </c>
      <c r="C4" s="4">
        <v>103357</v>
      </c>
      <c r="D4" s="4">
        <v>106607</v>
      </c>
      <c r="E4" s="4">
        <v>109858</v>
      </c>
      <c r="F4" s="4">
        <v>113108</v>
      </c>
      <c r="G4" s="4">
        <v>116358</v>
      </c>
      <c r="H4" s="4">
        <v>119609</v>
      </c>
      <c r="I4" s="4">
        <v>122859</v>
      </c>
      <c r="J4" s="4">
        <v>126108</v>
      </c>
      <c r="K4" s="4">
        <f>+J4</f>
        <v>126108</v>
      </c>
      <c r="L4" s="4">
        <f>+K4</f>
        <v>126108</v>
      </c>
      <c r="M4" s="4">
        <f>+L4</f>
        <v>126108</v>
      </c>
      <c r="N4" s="4">
        <f>+M4</f>
        <v>126108</v>
      </c>
      <c r="O4" s="25" t="s">
        <v>201</v>
      </c>
      <c r="P4" s="162" t="s">
        <v>79</v>
      </c>
      <c r="Q4" s="162"/>
    </row>
    <row r="5" spans="1:17" ht="12.75">
      <c r="A5" s="125" t="s">
        <v>206</v>
      </c>
      <c r="B5" s="23">
        <v>210</v>
      </c>
      <c r="C5" s="4">
        <v>89427</v>
      </c>
      <c r="D5" s="4">
        <v>93616</v>
      </c>
      <c r="E5" s="4">
        <v>98013</v>
      </c>
      <c r="F5" s="4">
        <v>102630</v>
      </c>
      <c r="G5" s="4">
        <v>107478</v>
      </c>
      <c r="H5" s="4">
        <v>112569</v>
      </c>
      <c r="I5" s="4">
        <f>+H5</f>
        <v>112569</v>
      </c>
      <c r="J5" s="4">
        <f>+I5</f>
        <v>112569</v>
      </c>
      <c r="K5" s="4">
        <v>113734</v>
      </c>
      <c r="L5" s="4">
        <f>+K5</f>
        <v>113734</v>
      </c>
      <c r="M5" s="140">
        <v>114899</v>
      </c>
      <c r="N5" s="126">
        <f aca="true" t="shared" si="0" ref="N5:N10">+M5</f>
        <v>114899</v>
      </c>
      <c r="O5" s="114" t="s">
        <v>207</v>
      </c>
      <c r="P5" s="162" t="s">
        <v>79</v>
      </c>
      <c r="Q5" s="17"/>
    </row>
    <row r="6" spans="1:17" s="16" customFormat="1" ht="22.5" customHeight="1">
      <c r="A6" s="25" t="s">
        <v>208</v>
      </c>
      <c r="B6" s="128">
        <v>207</v>
      </c>
      <c r="C6" s="126">
        <v>89383</v>
      </c>
      <c r="D6" s="126">
        <v>93852</v>
      </c>
      <c r="E6" s="126">
        <v>98604</v>
      </c>
      <c r="F6" s="126">
        <v>103596</v>
      </c>
      <c r="G6" s="126">
        <v>108840</v>
      </c>
      <c r="H6" s="126">
        <v>114350</v>
      </c>
      <c r="I6" s="126">
        <f>+H6</f>
        <v>114350</v>
      </c>
      <c r="J6" s="126">
        <f>+I6</f>
        <v>114350</v>
      </c>
      <c r="K6" s="127">
        <f>+J6*1.01</f>
        <v>115493.5</v>
      </c>
      <c r="L6" s="126">
        <f>+K6</f>
        <v>115493.5</v>
      </c>
      <c r="M6" s="126">
        <f>+L6</f>
        <v>115493.5</v>
      </c>
      <c r="N6" s="126">
        <f t="shared" si="0"/>
        <v>115493.5</v>
      </c>
      <c r="O6" s="5" t="s">
        <v>209</v>
      </c>
      <c r="P6" s="162" t="s">
        <v>79</v>
      </c>
      <c r="Q6" s="120"/>
    </row>
    <row r="7" spans="1:17" ht="30" customHeight="1">
      <c r="A7" s="125" t="s">
        <v>211</v>
      </c>
      <c r="B7" s="119">
        <v>220.5</v>
      </c>
      <c r="C7" s="116">
        <f>D7/(E7/D7)</f>
        <v>113345.67453685944</v>
      </c>
      <c r="D7" s="116">
        <f>E7/(F7/E7)</f>
        <v>118894.99209613062</v>
      </c>
      <c r="E7" s="24">
        <v>124716</v>
      </c>
      <c r="F7" s="24">
        <v>130822</v>
      </c>
      <c r="G7" s="24">
        <v>137232</v>
      </c>
      <c r="H7" s="24">
        <v>141269</v>
      </c>
      <c r="I7" s="24">
        <v>145421</v>
      </c>
      <c r="J7" s="24">
        <v>149705</v>
      </c>
      <c r="K7" s="24">
        <f>+J7</f>
        <v>149705</v>
      </c>
      <c r="L7" s="24">
        <v>154047</v>
      </c>
      <c r="M7" s="24">
        <v>158516</v>
      </c>
      <c r="N7" s="24">
        <f t="shared" si="0"/>
        <v>158516</v>
      </c>
      <c r="O7" s="117" t="s">
        <v>93</v>
      </c>
      <c r="P7" s="162" t="s">
        <v>79</v>
      </c>
      <c r="Q7" s="113"/>
    </row>
    <row r="8" spans="1:17" ht="26.25" customHeight="1">
      <c r="A8" s="25" t="s">
        <v>151</v>
      </c>
      <c r="B8" s="23">
        <v>210</v>
      </c>
      <c r="C8" s="4">
        <v>101560</v>
      </c>
      <c r="D8" s="4">
        <v>104099</v>
      </c>
      <c r="E8" s="4">
        <v>106702</v>
      </c>
      <c r="F8" s="4">
        <v>109369</v>
      </c>
      <c r="G8" s="4">
        <v>112103</v>
      </c>
      <c r="H8" s="4">
        <v>114906</v>
      </c>
      <c r="I8" s="4">
        <v>117779</v>
      </c>
      <c r="J8" s="4">
        <v>120723</v>
      </c>
      <c r="K8" s="4">
        <f>+J8</f>
        <v>120723</v>
      </c>
      <c r="L8" s="19">
        <f>+K8</f>
        <v>120723</v>
      </c>
      <c r="M8" s="143">
        <f>+L8*1.06</f>
        <v>127966.38</v>
      </c>
      <c r="N8" s="143">
        <f>+L8*1.08</f>
        <v>130380.84000000001</v>
      </c>
      <c r="O8" s="5" t="s">
        <v>213</v>
      </c>
      <c r="P8" s="162" t="s">
        <v>79</v>
      </c>
      <c r="Q8" s="165" t="s">
        <v>215</v>
      </c>
    </row>
    <row r="9" spans="1:17" s="16" customFormat="1" ht="22.5">
      <c r="A9" s="25" t="s">
        <v>217</v>
      </c>
      <c r="B9" s="177">
        <v>210</v>
      </c>
      <c r="C9" s="126">
        <v>79139</v>
      </c>
      <c r="D9" s="126">
        <v>83097</v>
      </c>
      <c r="E9" s="126">
        <v>87247</v>
      </c>
      <c r="F9" s="126">
        <v>91608</v>
      </c>
      <c r="G9" s="126">
        <v>96188</v>
      </c>
      <c r="H9" s="143">
        <f>+G9*1.01</f>
        <v>97149.88</v>
      </c>
      <c r="I9" s="126">
        <f>+H9</f>
        <v>97149.88</v>
      </c>
      <c r="J9" s="127">
        <f>+I9*1.01</f>
        <v>98121.3788</v>
      </c>
      <c r="K9" s="126">
        <f>+J9</f>
        <v>98121.3788</v>
      </c>
      <c r="L9" s="126">
        <f>+K9</f>
        <v>98121.3788</v>
      </c>
      <c r="M9" s="127">
        <f>+L9*1.01*1.01</f>
        <v>100093.61851388</v>
      </c>
      <c r="N9" s="140">
        <f>+M9</f>
        <v>100093.61851388</v>
      </c>
      <c r="O9" s="5" t="s">
        <v>81</v>
      </c>
      <c r="P9" s="162" t="s">
        <v>79</v>
      </c>
      <c r="Q9" s="113"/>
    </row>
    <row r="10" spans="1:17" ht="22.5">
      <c r="A10" s="25" t="s">
        <v>218</v>
      </c>
      <c r="B10" s="23">
        <v>210</v>
      </c>
      <c r="C10" s="4">
        <v>122914</v>
      </c>
      <c r="D10" s="4">
        <v>125372</v>
      </c>
      <c r="E10" s="4">
        <v>127881</v>
      </c>
      <c r="F10" s="4">
        <v>130438</v>
      </c>
      <c r="G10" s="4">
        <v>133046</v>
      </c>
      <c r="H10" s="4">
        <v>135708</v>
      </c>
      <c r="I10" s="19">
        <f>+H10</f>
        <v>135708</v>
      </c>
      <c r="J10" s="19">
        <f>+I10</f>
        <v>135708</v>
      </c>
      <c r="K10" s="19">
        <f>+J10</f>
        <v>135708</v>
      </c>
      <c r="L10" s="19">
        <f>+K10</f>
        <v>135708</v>
      </c>
      <c r="M10" s="18">
        <f>+L10*1.04</f>
        <v>141136.32</v>
      </c>
      <c r="N10" s="19">
        <f t="shared" si="0"/>
        <v>141136.32</v>
      </c>
      <c r="O10" s="5" t="s">
        <v>82</v>
      </c>
      <c r="P10" s="162" t="s">
        <v>79</v>
      </c>
      <c r="Q10" s="17"/>
    </row>
    <row r="11" spans="1:16" ht="23.25" customHeight="1">
      <c r="A11" s="25" t="s">
        <v>220</v>
      </c>
      <c r="B11" s="23">
        <v>210</v>
      </c>
      <c r="C11" s="4">
        <v>86461</v>
      </c>
      <c r="D11" s="4">
        <v>91547</v>
      </c>
      <c r="E11" s="4">
        <v>96633</v>
      </c>
      <c r="F11" s="4">
        <v>101719</v>
      </c>
      <c r="G11" s="4">
        <f>+F11</f>
        <v>101719</v>
      </c>
      <c r="H11" s="4">
        <f>+F11</f>
        <v>101719</v>
      </c>
      <c r="I11" s="4">
        <f aca="true" t="shared" si="1" ref="I11:L11">+F$11</f>
        <v>101719</v>
      </c>
      <c r="J11" s="4">
        <f t="shared" si="1"/>
        <v>101719</v>
      </c>
      <c r="K11" s="4">
        <f t="shared" si="1"/>
        <v>101719</v>
      </c>
      <c r="L11" s="4">
        <f t="shared" si="1"/>
        <v>101719</v>
      </c>
      <c r="M11" s="143">
        <f>+L11+750</f>
        <v>102469</v>
      </c>
      <c r="N11" s="143">
        <f>+L11+1000</f>
        <v>102719</v>
      </c>
      <c r="O11" s="5" t="s">
        <v>219</v>
      </c>
      <c r="P11" s="162" t="s">
        <v>79</v>
      </c>
    </row>
    <row r="12" spans="1:17" ht="12.75">
      <c r="A12" s="25" t="s">
        <v>221</v>
      </c>
      <c r="B12" s="23">
        <v>206</v>
      </c>
      <c r="C12" s="4">
        <v>104522</v>
      </c>
      <c r="D12" s="4">
        <v>109290</v>
      </c>
      <c r="E12" s="4">
        <v>114280</v>
      </c>
      <c r="F12" s="4">
        <v>119280</v>
      </c>
      <c r="G12" s="4">
        <v>124962</v>
      </c>
      <c r="H12" s="143">
        <f>+G12*1.02</f>
        <v>127461.24</v>
      </c>
      <c r="I12" s="19">
        <f>+H12</f>
        <v>127461.24</v>
      </c>
      <c r="J12" s="19">
        <f>+I12</f>
        <v>127461.24</v>
      </c>
      <c r="K12" s="126">
        <f>+J12</f>
        <v>127461.24</v>
      </c>
      <c r="L12" s="126">
        <f>+K12</f>
        <v>127461.24</v>
      </c>
      <c r="M12" s="19">
        <f>+L12</f>
        <v>127461.24</v>
      </c>
      <c r="N12" s="19">
        <f>+M12</f>
        <v>127461.24</v>
      </c>
      <c r="O12" s="5" t="s">
        <v>222</v>
      </c>
      <c r="P12" s="162" t="s">
        <v>79</v>
      </c>
      <c r="Q12" s="17"/>
    </row>
    <row r="13" spans="1:17" ht="25.5" customHeight="1" thickBot="1">
      <c r="A13" s="25" t="s">
        <v>224</v>
      </c>
      <c r="B13" s="23">
        <v>208</v>
      </c>
      <c r="C13" s="4">
        <v>89325</v>
      </c>
      <c r="D13" s="4">
        <v>93793</v>
      </c>
      <c r="E13" s="4">
        <v>98481</v>
      </c>
      <c r="F13" s="4">
        <v>103405</v>
      </c>
      <c r="G13" s="4">
        <v>108576</v>
      </c>
      <c r="H13" s="4">
        <v>114006</v>
      </c>
      <c r="I13" s="4">
        <f>+H13</f>
        <v>114006</v>
      </c>
      <c r="J13" s="4">
        <f>+I13</f>
        <v>114006</v>
      </c>
      <c r="K13" s="19">
        <v>117426</v>
      </c>
      <c r="L13" s="19">
        <f>+K13</f>
        <v>117426</v>
      </c>
      <c r="M13" s="105">
        <f>+L13</f>
        <v>117426</v>
      </c>
      <c r="N13" s="19">
        <v>120950</v>
      </c>
      <c r="O13" s="5" t="s">
        <v>227</v>
      </c>
      <c r="P13" s="162" t="s">
        <v>79</v>
      </c>
      <c r="Q13" s="124"/>
    </row>
    <row r="14" spans="1:15" ht="14.25" thickTop="1">
      <c r="A14" s="27" t="s">
        <v>0</v>
      </c>
      <c r="B14" s="28">
        <f>SUM(B4:B13)</f>
        <v>2108.5</v>
      </c>
      <c r="C14" s="29">
        <f>SUM(C4:C13)</f>
        <v>979433.6745368594</v>
      </c>
      <c r="D14" s="29">
        <f aca="true" t="shared" si="2" ref="D14:K14">SUM(D4:D13)</f>
        <v>1020167.9920961306</v>
      </c>
      <c r="E14" s="29">
        <f t="shared" si="2"/>
        <v>1062415</v>
      </c>
      <c r="F14" s="29">
        <f t="shared" si="2"/>
        <v>1105975</v>
      </c>
      <c r="G14" s="29">
        <f t="shared" si="2"/>
        <v>1146502</v>
      </c>
      <c r="H14" s="29">
        <f t="shared" si="2"/>
        <v>1178747.12</v>
      </c>
      <c r="I14" s="29">
        <f t="shared" si="2"/>
        <v>1189022.12</v>
      </c>
      <c r="J14" s="29">
        <f t="shared" si="2"/>
        <v>1200470.6188</v>
      </c>
      <c r="K14" s="29">
        <f t="shared" si="2"/>
        <v>1206199.1188</v>
      </c>
      <c r="L14" s="29">
        <f>SUM(L4:L13)</f>
        <v>1210541.1188</v>
      </c>
      <c r="M14" s="29">
        <f>SUM(M4:M13)</f>
        <v>1231569.05851388</v>
      </c>
      <c r="N14" s="30">
        <f>SUM(N4:N13)</f>
        <v>1237757.51851388</v>
      </c>
      <c r="O14" s="31"/>
    </row>
    <row r="15" spans="1:15" ht="22.5" customHeight="1">
      <c r="A15" s="5" t="s">
        <v>169</v>
      </c>
      <c r="B15" s="23">
        <f>B14/10</f>
        <v>210.85</v>
      </c>
      <c r="C15" s="32">
        <f>C14/10</f>
        <v>97943.36745368593</v>
      </c>
      <c r="D15" s="32">
        <f>D14/10</f>
        <v>102016.79920961306</v>
      </c>
      <c r="E15" s="32">
        <f aca="true" t="shared" si="3" ref="E15:K15">E14/10</f>
        <v>106241.5</v>
      </c>
      <c r="F15" s="32">
        <f t="shared" si="3"/>
        <v>110597.5</v>
      </c>
      <c r="G15" s="32">
        <f t="shared" si="3"/>
        <v>114650.2</v>
      </c>
      <c r="H15" s="32">
        <f t="shared" si="3"/>
        <v>117874.71200000001</v>
      </c>
      <c r="I15" s="32">
        <f t="shared" si="3"/>
        <v>118902.21200000001</v>
      </c>
      <c r="J15" s="32">
        <f t="shared" si="3"/>
        <v>120047.06188000001</v>
      </c>
      <c r="K15" s="32">
        <f t="shared" si="3"/>
        <v>120619.91188</v>
      </c>
      <c r="L15" s="32">
        <f>L14/10</f>
        <v>121054.11188000001</v>
      </c>
      <c r="M15" s="32">
        <f>M14/10</f>
        <v>123156.905851388</v>
      </c>
      <c r="N15" s="33">
        <f>N14/10</f>
        <v>123775.75185138799</v>
      </c>
      <c r="O15" s="1"/>
    </row>
    <row r="16" spans="1:15" ht="25.5" customHeight="1">
      <c r="A16" s="34" t="s">
        <v>170</v>
      </c>
      <c r="B16" s="23"/>
      <c r="C16" s="35">
        <f>C15/$B15</f>
        <v>464.5168008237417</v>
      </c>
      <c r="D16" s="35">
        <f aca="true" t="shared" si="4" ref="D16:N16">D15/$B15</f>
        <v>483.83589855163893</v>
      </c>
      <c r="E16" s="35">
        <f t="shared" si="4"/>
        <v>503.87242115247807</v>
      </c>
      <c r="F16" s="35">
        <f t="shared" si="4"/>
        <v>524.5316575764762</v>
      </c>
      <c r="G16" s="35">
        <f t="shared" si="4"/>
        <v>543.7524306378942</v>
      </c>
      <c r="H16" s="35">
        <f t="shared" si="4"/>
        <v>559.0453497747214</v>
      </c>
      <c r="I16" s="35">
        <f t="shared" si="4"/>
        <v>563.9184823334125</v>
      </c>
      <c r="J16" s="35">
        <f t="shared" si="4"/>
        <v>569.3481711169078</v>
      </c>
      <c r="K16" s="35">
        <f t="shared" si="4"/>
        <v>572.0650314441547</v>
      </c>
      <c r="L16" s="35">
        <f t="shared" si="4"/>
        <v>574.1243152952336</v>
      </c>
      <c r="M16" s="35">
        <f t="shared" si="4"/>
        <v>584.0972532671947</v>
      </c>
      <c r="N16" s="35">
        <f t="shared" si="4"/>
        <v>587.0322591955797</v>
      </c>
      <c r="O16" s="1"/>
    </row>
    <row r="17" spans="1:15" ht="25.5" customHeight="1">
      <c r="A17" s="34" t="s">
        <v>33</v>
      </c>
      <c r="B17" s="23">
        <v>240</v>
      </c>
      <c r="C17" s="32">
        <f>C16*$B17</f>
        <v>111484.032197698</v>
      </c>
      <c r="D17" s="32">
        <f aca="true" t="shared" si="5" ref="D17:L17">D16*$B17</f>
        <v>116120.61565239335</v>
      </c>
      <c r="E17" s="32">
        <f t="shared" si="5"/>
        <v>120929.38107659474</v>
      </c>
      <c r="F17" s="32">
        <f t="shared" si="5"/>
        <v>125887.59781835428</v>
      </c>
      <c r="G17" s="32">
        <f t="shared" si="5"/>
        <v>130500.58335309461</v>
      </c>
      <c r="H17" s="32">
        <f t="shared" si="5"/>
        <v>134170.88394593314</v>
      </c>
      <c r="I17" s="32">
        <f t="shared" si="5"/>
        <v>135340.435760019</v>
      </c>
      <c r="J17" s="32">
        <f t="shared" si="5"/>
        <v>136643.56106805787</v>
      </c>
      <c r="K17" s="32">
        <f t="shared" si="5"/>
        <v>137295.6075465971</v>
      </c>
      <c r="L17" s="32">
        <f t="shared" si="5"/>
        <v>137789.83567085606</v>
      </c>
      <c r="M17" s="50">
        <f>M16*$B17</f>
        <v>140183.34078412672</v>
      </c>
      <c r="N17" s="50">
        <f>N16*$B17</f>
        <v>140887.74220693915</v>
      </c>
      <c r="O17" s="1"/>
    </row>
    <row r="18" spans="1:15" ht="34.5" customHeight="1">
      <c r="A18" s="195"/>
      <c r="B18" s="195"/>
      <c r="C18" s="195"/>
      <c r="D18" s="195"/>
      <c r="E18" s="195"/>
      <c r="F18" s="195"/>
      <c r="G18" s="195"/>
      <c r="H18" s="195"/>
      <c r="I18" s="195"/>
      <c r="J18" s="195"/>
      <c r="K18" s="195"/>
      <c r="L18" s="195"/>
      <c r="M18" s="195"/>
      <c r="N18" s="195"/>
      <c r="O18" s="195"/>
    </row>
    <row r="19" spans="1:15" ht="27" customHeight="1">
      <c r="A19" s="184" t="s">
        <v>34</v>
      </c>
      <c r="B19" s="185"/>
      <c r="C19" s="185"/>
      <c r="D19" s="185"/>
      <c r="E19" s="185"/>
      <c r="F19" s="185"/>
      <c r="G19" s="185"/>
      <c r="H19" s="185"/>
      <c r="I19" s="185"/>
      <c r="J19" s="185"/>
      <c r="K19" s="185"/>
      <c r="L19" s="185"/>
      <c r="M19" s="185"/>
      <c r="N19" s="185"/>
      <c r="O19" s="185"/>
    </row>
    <row r="20" spans="1:15" ht="35.1" customHeight="1">
      <c r="A20" s="184" t="s">
        <v>35</v>
      </c>
      <c r="B20" s="184"/>
      <c r="C20" s="184"/>
      <c r="D20" s="184"/>
      <c r="E20" s="184"/>
      <c r="F20" s="184"/>
      <c r="G20" s="184"/>
      <c r="H20" s="184"/>
      <c r="I20" s="184"/>
      <c r="J20" s="184"/>
      <c r="K20" s="184"/>
      <c r="L20" s="184"/>
      <c r="M20" s="184"/>
      <c r="N20" s="184"/>
      <c r="O20" s="184"/>
    </row>
    <row r="21" spans="1:15" ht="12.75">
      <c r="A21" s="198" t="s">
        <v>30</v>
      </c>
      <c r="B21" s="199"/>
      <c r="C21" s="199"/>
      <c r="D21" s="199"/>
      <c r="E21" s="199"/>
      <c r="F21" s="198"/>
      <c r="G21" s="199"/>
      <c r="H21" s="199"/>
      <c r="I21" s="199"/>
      <c r="J21" s="199"/>
      <c r="K21" s="198"/>
      <c r="L21" s="199"/>
      <c r="M21" s="199"/>
      <c r="N21" s="199"/>
      <c r="O21" s="199"/>
    </row>
    <row r="24" spans="1:2" ht="12.75">
      <c r="A24" s="11" t="s">
        <v>18</v>
      </c>
      <c r="B24" s="11" t="s">
        <v>13</v>
      </c>
    </row>
    <row r="25" spans="1:2" ht="12.75">
      <c r="A25" s="1" t="s">
        <v>14</v>
      </c>
      <c r="B25" s="13">
        <v>1144</v>
      </c>
    </row>
    <row r="26" spans="1:2" ht="12.75">
      <c r="A26" s="1" t="s">
        <v>15</v>
      </c>
      <c r="B26" s="13">
        <v>1555</v>
      </c>
    </row>
    <row r="27" spans="1:2" ht="12.75">
      <c r="A27" s="1" t="s">
        <v>16</v>
      </c>
      <c r="B27" s="13">
        <v>1365</v>
      </c>
    </row>
    <row r="28" spans="1:2" ht="12.75">
      <c r="A28" s="1" t="s">
        <v>17</v>
      </c>
      <c r="B28" s="13">
        <v>0</v>
      </c>
    </row>
    <row r="29" spans="1:2" ht="12.75">
      <c r="A29" s="1" t="s">
        <v>19</v>
      </c>
      <c r="B29" s="13">
        <v>1000</v>
      </c>
    </row>
    <row r="30" spans="1:2" ht="12.75">
      <c r="A30" s="1" t="s">
        <v>20</v>
      </c>
      <c r="B30" s="13">
        <v>1000</v>
      </c>
    </row>
    <row r="31" spans="1:2" ht="12.75">
      <c r="A31" s="1" t="s">
        <v>21</v>
      </c>
      <c r="B31" s="13">
        <v>1300</v>
      </c>
    </row>
    <row r="32" spans="1:2" ht="12.75">
      <c r="A32" s="1" t="s">
        <v>22</v>
      </c>
      <c r="B32" s="13">
        <v>0</v>
      </c>
    </row>
    <row r="33" spans="1:2" ht="12.75">
      <c r="A33" s="1" t="s">
        <v>23</v>
      </c>
      <c r="B33" s="13">
        <v>1755</v>
      </c>
    </row>
    <row r="34" spans="1:2" ht="12.75">
      <c r="A34" s="1" t="s">
        <v>24</v>
      </c>
      <c r="B34" s="13">
        <v>2430</v>
      </c>
    </row>
    <row r="35" spans="1:2" ht="12.75">
      <c r="A35" s="1" t="s">
        <v>25</v>
      </c>
      <c r="B35" s="13">
        <f>SUM(B25:B34)/10</f>
        <v>1154.9</v>
      </c>
    </row>
    <row r="36" spans="1:2" ht="25.5">
      <c r="A36" s="12" t="s">
        <v>26</v>
      </c>
      <c r="B36" s="13">
        <f>SUM(B35)/24</f>
        <v>48.12083333333334</v>
      </c>
    </row>
  </sheetData>
  <mergeCells count="9">
    <mergeCell ref="A1:O1"/>
    <mergeCell ref="A18:O18"/>
    <mergeCell ref="A2:M2"/>
    <mergeCell ref="N2:Q2"/>
    <mergeCell ref="A21:E21"/>
    <mergeCell ref="F21:J21"/>
    <mergeCell ref="K21:O21"/>
    <mergeCell ref="A19:O19"/>
    <mergeCell ref="A20:O20"/>
  </mergeCells>
  <printOptions/>
  <pageMargins left="0.25" right="0.25" top="0.78" bottom="1.08" header="0.25" footer="0.25"/>
  <pageSetup fitToHeight="1" fitToWidth="1" horizontalDpi="600" verticalDpi="600" orientation="landscape" scale="88" r:id="rId1"/>
  <headerFooter alignWithMargins="0">
    <oddFooter>&amp;L&amp;Z&amp;F</oddFooter>
  </headerFooter>
  <rowBreaks count="2" manualBreakCount="2">
    <brk id="21" max="16383" man="1"/>
    <brk id="2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workbookViewId="0" topLeftCell="A1">
      <selection activeCell="O5" sqref="O5"/>
    </sheetView>
  </sheetViews>
  <sheetFormatPr defaultColWidth="9.140625" defaultRowHeight="12.75"/>
  <cols>
    <col min="1" max="1" width="18.00390625" style="0" customWidth="1"/>
    <col min="2" max="2" width="8.421875" style="0" customWidth="1"/>
    <col min="3" max="3" width="7.7109375" style="0" customWidth="1"/>
    <col min="4" max="4" width="9.00390625" style="0" customWidth="1"/>
    <col min="5" max="5" width="7.8515625" style="0" customWidth="1"/>
    <col min="6" max="7" width="8.7109375" style="0" customWidth="1"/>
    <col min="8" max="8" width="9.140625" style="0" bestFit="1" customWidth="1"/>
    <col min="9" max="9" width="10.421875" style="0" bestFit="1" customWidth="1"/>
    <col min="10" max="10" width="8.8515625" style="0" customWidth="1"/>
    <col min="11" max="11" width="9.7109375" style="0" customWidth="1"/>
    <col min="12" max="12" width="10.57421875" style="0" bestFit="1" customWidth="1"/>
    <col min="13" max="14" width="9.140625" style="0" bestFit="1" customWidth="1"/>
    <col min="15" max="15" width="28.28125" style="0" customWidth="1"/>
    <col min="16" max="16" width="2.7109375" style="0" customWidth="1"/>
  </cols>
  <sheetData>
    <row r="1" spans="1:15" ht="12.75" customHeight="1">
      <c r="A1" s="186" t="s">
        <v>229</v>
      </c>
      <c r="B1" s="186"/>
      <c r="C1" s="186"/>
      <c r="D1" s="186"/>
      <c r="E1" s="186"/>
      <c r="F1" s="186"/>
      <c r="G1" s="186"/>
      <c r="H1" s="186"/>
      <c r="I1" s="186"/>
      <c r="J1" s="187"/>
      <c r="K1" s="187"/>
      <c r="L1" s="187"/>
      <c r="M1" s="187"/>
      <c r="N1" s="187"/>
      <c r="O1" s="187"/>
    </row>
    <row r="2" spans="1:15" ht="12.75">
      <c r="A2" s="191" t="s">
        <v>230</v>
      </c>
      <c r="B2" s="192"/>
      <c r="C2" s="192"/>
      <c r="D2" s="192"/>
      <c r="E2" s="192"/>
      <c r="F2" s="192"/>
      <c r="G2" s="192"/>
      <c r="H2" s="192"/>
      <c r="I2" s="192"/>
      <c r="J2" s="192"/>
      <c r="K2" s="192"/>
      <c r="L2" s="192"/>
      <c r="M2" s="192"/>
      <c r="N2" s="192"/>
      <c r="O2" s="192"/>
    </row>
    <row r="3" spans="1:15" ht="18" customHeight="1">
      <c r="A3" s="201" t="s">
        <v>143</v>
      </c>
      <c r="B3" s="201"/>
      <c r="C3" s="201"/>
      <c r="D3" s="201"/>
      <c r="E3" s="201"/>
      <c r="F3" s="201"/>
      <c r="G3" s="201"/>
      <c r="H3" s="201"/>
      <c r="I3" s="201"/>
      <c r="J3" s="202"/>
      <c r="K3" s="202"/>
      <c r="L3" s="202"/>
      <c r="M3" s="202"/>
      <c r="N3" s="202"/>
      <c r="O3" s="202"/>
    </row>
    <row r="4" spans="11:15" ht="9.75" customHeight="1">
      <c r="K4" s="189" t="s">
        <v>245</v>
      </c>
      <c r="L4" s="200"/>
      <c r="M4" s="200"/>
      <c r="N4" s="200"/>
      <c r="O4" s="200"/>
    </row>
    <row r="5" spans="1:15" ht="12.75">
      <c r="A5" s="1" t="s">
        <v>10</v>
      </c>
      <c r="B5" s="2" t="s">
        <v>9</v>
      </c>
      <c r="C5" s="97" t="s">
        <v>8</v>
      </c>
      <c r="D5" s="97" t="s">
        <v>7</v>
      </c>
      <c r="E5" s="97" t="s">
        <v>6</v>
      </c>
      <c r="F5" s="97" t="s">
        <v>5</v>
      </c>
      <c r="G5" s="97" t="s">
        <v>4</v>
      </c>
      <c r="H5" s="97" t="s">
        <v>3</v>
      </c>
      <c r="I5" s="97" t="s">
        <v>2</v>
      </c>
      <c r="J5" s="97" t="s">
        <v>1</v>
      </c>
      <c r="K5" s="97" t="s">
        <v>28</v>
      </c>
      <c r="L5" s="98" t="s">
        <v>32</v>
      </c>
      <c r="M5" s="3" t="s">
        <v>142</v>
      </c>
      <c r="N5" s="3" t="s">
        <v>199</v>
      </c>
      <c r="O5" s="2" t="s">
        <v>212</v>
      </c>
    </row>
    <row r="6" spans="1:17" ht="12.75">
      <c r="A6" s="25" t="s">
        <v>202</v>
      </c>
      <c r="B6" s="4">
        <v>212</v>
      </c>
      <c r="C6" s="4">
        <v>99862</v>
      </c>
      <c r="D6" s="4">
        <v>103002</v>
      </c>
      <c r="E6" s="4">
        <v>106143</v>
      </c>
      <c r="F6" s="4">
        <v>109283</v>
      </c>
      <c r="G6" s="4">
        <v>112424</v>
      </c>
      <c r="H6" s="4">
        <v>115564</v>
      </c>
      <c r="I6" s="4">
        <v>118704</v>
      </c>
      <c r="J6" s="4">
        <v>121844</v>
      </c>
      <c r="K6" s="4">
        <f>+J6</f>
        <v>121844</v>
      </c>
      <c r="L6" s="4">
        <f>+K6</f>
        <v>121844</v>
      </c>
      <c r="M6" s="4">
        <f>+J6</f>
        <v>121844</v>
      </c>
      <c r="N6" s="4">
        <f>+K6</f>
        <v>121844</v>
      </c>
      <c r="O6" s="36" t="s">
        <v>203</v>
      </c>
      <c r="P6" s="162" t="s">
        <v>79</v>
      </c>
      <c r="Q6" s="162"/>
    </row>
    <row r="7" spans="1:17" ht="12.75">
      <c r="A7" s="125" t="s">
        <v>206</v>
      </c>
      <c r="B7" s="4">
        <v>205</v>
      </c>
      <c r="C7" s="4">
        <v>85985</v>
      </c>
      <c r="D7" s="4">
        <v>90001</v>
      </c>
      <c r="E7" s="4">
        <v>94218</v>
      </c>
      <c r="F7" s="4">
        <v>98646</v>
      </c>
      <c r="G7" s="4">
        <v>103295</v>
      </c>
      <c r="H7" s="4">
        <v>108177</v>
      </c>
      <c r="I7" s="4">
        <v>110418</v>
      </c>
      <c r="J7" s="4">
        <f>+I7</f>
        <v>110418</v>
      </c>
      <c r="K7" s="4">
        <f>+J7</f>
        <v>110418</v>
      </c>
      <c r="L7" s="4">
        <v>111539</v>
      </c>
      <c r="M7" s="4">
        <f>+J7</f>
        <v>110418</v>
      </c>
      <c r="N7" s="4">
        <f>+K7</f>
        <v>110418</v>
      </c>
      <c r="O7" s="114" t="s">
        <v>207</v>
      </c>
      <c r="P7" s="162" t="s">
        <v>79</v>
      </c>
      <c r="Q7" s="17"/>
    </row>
    <row r="8" spans="1:17" s="16" customFormat="1" ht="22.5">
      <c r="A8" s="25" t="s">
        <v>208</v>
      </c>
      <c r="B8" s="126">
        <v>197</v>
      </c>
      <c r="C8" s="126">
        <v>83051</v>
      </c>
      <c r="D8" s="126">
        <v>87203</v>
      </c>
      <c r="E8" s="126">
        <v>91563</v>
      </c>
      <c r="F8" s="126">
        <v>96199</v>
      </c>
      <c r="G8" s="126">
        <v>101069</v>
      </c>
      <c r="H8" s="126">
        <v>106186</v>
      </c>
      <c r="I8" s="126">
        <f>+H8</f>
        <v>106186</v>
      </c>
      <c r="J8" s="126">
        <f>+I8</f>
        <v>106186</v>
      </c>
      <c r="K8" s="126">
        <f>+J8</f>
        <v>106186</v>
      </c>
      <c r="L8" s="126">
        <f>+K8</f>
        <v>106186</v>
      </c>
      <c r="M8" s="127">
        <f>+J8*1.01</f>
        <v>107247.86</v>
      </c>
      <c r="N8" s="4">
        <f>+M8</f>
        <v>107247.86</v>
      </c>
      <c r="O8" s="5" t="s">
        <v>210</v>
      </c>
      <c r="P8" s="162" t="s">
        <v>79</v>
      </c>
      <c r="Q8" s="120"/>
    </row>
    <row r="9" spans="1:17" ht="18.75">
      <c r="A9" s="125" t="s">
        <v>211</v>
      </c>
      <c r="B9" s="24">
        <v>213</v>
      </c>
      <c r="C9" s="116">
        <f>D9/(E9/D9)</f>
        <v>107769.82938826538</v>
      </c>
      <c r="D9" s="116">
        <f>E9/(F9/E9)</f>
        <v>113041.48106069742</v>
      </c>
      <c r="E9" s="24">
        <v>118571</v>
      </c>
      <c r="F9" s="24">
        <v>124371</v>
      </c>
      <c r="G9" s="24">
        <v>130464</v>
      </c>
      <c r="H9" s="24">
        <v>134303</v>
      </c>
      <c r="I9" s="24">
        <v>138255</v>
      </c>
      <c r="J9" s="24">
        <v>142326</v>
      </c>
      <c r="K9" s="24">
        <f>+J9</f>
        <v>142326</v>
      </c>
      <c r="L9" s="24">
        <v>146454</v>
      </c>
      <c r="M9" s="24">
        <f>+L9</f>
        <v>146454</v>
      </c>
      <c r="N9" s="24">
        <f>+M9</f>
        <v>146454</v>
      </c>
      <c r="O9" s="117" t="s">
        <v>93</v>
      </c>
      <c r="P9" s="163" t="s">
        <v>79</v>
      </c>
      <c r="Q9" s="17"/>
    </row>
    <row r="10" spans="1:17" ht="22.5">
      <c r="A10" s="25" t="s">
        <v>151</v>
      </c>
      <c r="B10" s="4">
        <v>200</v>
      </c>
      <c r="C10" s="4">
        <v>92630</v>
      </c>
      <c r="D10" s="4">
        <v>94945</v>
      </c>
      <c r="E10" s="4">
        <v>97319</v>
      </c>
      <c r="F10" s="4">
        <v>99752</v>
      </c>
      <c r="G10" s="4">
        <v>102246</v>
      </c>
      <c r="H10" s="4">
        <v>104802</v>
      </c>
      <c r="I10" s="4">
        <v>107422</v>
      </c>
      <c r="J10" s="4">
        <v>110108</v>
      </c>
      <c r="K10" s="4">
        <f>+J10</f>
        <v>110108</v>
      </c>
      <c r="L10" s="4">
        <f>+K10</f>
        <v>110108</v>
      </c>
      <c r="M10" s="18">
        <f>+J10*1.02</f>
        <v>112310.16</v>
      </c>
      <c r="N10" s="18">
        <f>+J10*1.04</f>
        <v>114512.32</v>
      </c>
      <c r="O10" s="5" t="s">
        <v>216</v>
      </c>
      <c r="P10" s="163" t="s">
        <v>79</v>
      </c>
      <c r="Q10" s="165" t="s">
        <v>215</v>
      </c>
    </row>
    <row r="11" spans="1:17" s="16" customFormat="1" ht="22.5">
      <c r="A11" s="25" t="s">
        <v>217</v>
      </c>
      <c r="B11" s="126">
        <v>203</v>
      </c>
      <c r="C11" s="126">
        <v>74412</v>
      </c>
      <c r="D11" s="126">
        <v>78135</v>
      </c>
      <c r="E11" s="126">
        <v>82040</v>
      </c>
      <c r="F11" s="126">
        <v>86143</v>
      </c>
      <c r="G11" s="127">
        <f>90451*1.01</f>
        <v>91355.51</v>
      </c>
      <c r="H11" s="126">
        <f>+G11</f>
        <v>91355.51</v>
      </c>
      <c r="I11" s="126">
        <f>+H11</f>
        <v>91355.51</v>
      </c>
      <c r="J11" s="127">
        <f>+I11*1.01</f>
        <v>92269.06509999999</v>
      </c>
      <c r="K11" s="126">
        <f>+J11</f>
        <v>92269.06509999999</v>
      </c>
      <c r="L11" s="126">
        <f>+K11</f>
        <v>92269.06509999999</v>
      </c>
      <c r="M11" s="126">
        <f>+J11</f>
        <v>92269.06509999999</v>
      </c>
      <c r="N11" s="126">
        <f>+K11</f>
        <v>92269.06509999999</v>
      </c>
      <c r="O11" s="5" t="s">
        <v>81</v>
      </c>
      <c r="P11" s="163" t="s">
        <v>79</v>
      </c>
      <c r="Q11" s="124"/>
    </row>
    <row r="12" spans="1:17" ht="33.75">
      <c r="A12" s="25" t="s">
        <v>218</v>
      </c>
      <c r="B12" s="4">
        <v>207</v>
      </c>
      <c r="C12" s="4">
        <v>117438</v>
      </c>
      <c r="D12" s="4">
        <v>119788</v>
      </c>
      <c r="E12" s="4">
        <v>122182</v>
      </c>
      <c r="F12" s="4">
        <v>124625</v>
      </c>
      <c r="G12" s="4">
        <v>127120</v>
      </c>
      <c r="H12" s="4">
        <v>129661</v>
      </c>
      <c r="I12" s="4">
        <f>+H12</f>
        <v>129661</v>
      </c>
      <c r="J12" s="4">
        <f>+I12</f>
        <v>129661</v>
      </c>
      <c r="K12" s="4">
        <f>+H12</f>
        <v>129661</v>
      </c>
      <c r="L12" s="4">
        <f>+I12</f>
        <v>129661</v>
      </c>
      <c r="M12" s="18">
        <f>+I12*1.03</f>
        <v>133550.83000000002</v>
      </c>
      <c r="N12" s="18">
        <f>+J12*1.03</f>
        <v>133550.83000000002</v>
      </c>
      <c r="O12" s="5" t="s">
        <v>37</v>
      </c>
      <c r="P12" s="162"/>
      <c r="Q12" s="17"/>
    </row>
    <row r="13" spans="1:16" ht="12.75">
      <c r="A13" s="25" t="s">
        <v>220</v>
      </c>
      <c r="B13" s="4">
        <v>205</v>
      </c>
      <c r="C13" s="4">
        <v>82698</v>
      </c>
      <c r="D13" s="4">
        <v>87562</v>
      </c>
      <c r="E13" s="4">
        <v>92427</v>
      </c>
      <c r="F13" s="4">
        <v>97291</v>
      </c>
      <c r="G13" s="4">
        <f aca="true" t="shared" si="0" ref="G13:L13">+F$13</f>
        <v>97291</v>
      </c>
      <c r="H13" s="4">
        <f t="shared" si="0"/>
        <v>97291</v>
      </c>
      <c r="I13" s="4">
        <f t="shared" si="0"/>
        <v>97291</v>
      </c>
      <c r="J13" s="4">
        <f t="shared" si="0"/>
        <v>97291</v>
      </c>
      <c r="K13" s="4">
        <f t="shared" si="0"/>
        <v>97291</v>
      </c>
      <c r="L13" s="4">
        <f t="shared" si="0"/>
        <v>97291</v>
      </c>
      <c r="M13" s="4">
        <f aca="true" t="shared" si="1" ref="M13:N14">+I13</f>
        <v>97291</v>
      </c>
      <c r="N13" s="4">
        <f t="shared" si="1"/>
        <v>97291</v>
      </c>
      <c r="O13" s="5" t="s">
        <v>219</v>
      </c>
      <c r="P13" s="162"/>
    </row>
    <row r="14" spans="1:17" ht="12.75">
      <c r="A14" s="25" t="s">
        <v>221</v>
      </c>
      <c r="B14" s="4">
        <v>203</v>
      </c>
      <c r="C14" s="4">
        <v>101594</v>
      </c>
      <c r="D14" s="4">
        <v>106217</v>
      </c>
      <c r="E14" s="4">
        <v>111053</v>
      </c>
      <c r="F14" s="4">
        <v>116113</v>
      </c>
      <c r="G14" s="4">
        <v>121404</v>
      </c>
      <c r="H14" s="18">
        <f>+G14*1.02</f>
        <v>123832.08</v>
      </c>
      <c r="I14" s="4">
        <f>+H14</f>
        <v>123832.08</v>
      </c>
      <c r="J14" s="4">
        <f>+I14</f>
        <v>123832.08</v>
      </c>
      <c r="K14" s="4">
        <f>+J14</f>
        <v>123832.08</v>
      </c>
      <c r="L14" s="4">
        <f>+K14</f>
        <v>123832.08</v>
      </c>
      <c r="M14" s="4">
        <f t="shared" si="1"/>
        <v>123832.08</v>
      </c>
      <c r="N14" s="4">
        <f t="shared" si="1"/>
        <v>123832.08</v>
      </c>
      <c r="O14" s="5" t="s">
        <v>223</v>
      </c>
      <c r="P14" s="162"/>
      <c r="Q14" s="17"/>
    </row>
    <row r="15" spans="1:17" ht="22.5">
      <c r="A15" s="25" t="s">
        <v>224</v>
      </c>
      <c r="B15" s="4">
        <v>203</v>
      </c>
      <c r="C15" s="19">
        <v>84796</v>
      </c>
      <c r="D15" s="19">
        <v>89035</v>
      </c>
      <c r="E15" s="19">
        <v>93487</v>
      </c>
      <c r="F15" s="19">
        <v>98161</v>
      </c>
      <c r="G15" s="19">
        <v>103069</v>
      </c>
      <c r="H15" s="19">
        <v>108223</v>
      </c>
      <c r="I15" s="19">
        <f>+H15</f>
        <v>108223</v>
      </c>
      <c r="J15" s="19">
        <f>+I15</f>
        <v>108223</v>
      </c>
      <c r="K15" s="19">
        <v>111469</v>
      </c>
      <c r="L15" s="19">
        <f>+K15</f>
        <v>111469</v>
      </c>
      <c r="M15" s="19">
        <f>+J15</f>
        <v>108223</v>
      </c>
      <c r="N15" s="19">
        <f>+K15</f>
        <v>111469</v>
      </c>
      <c r="O15" s="5" t="s">
        <v>228</v>
      </c>
      <c r="P15" s="162"/>
      <c r="Q15" s="124"/>
    </row>
    <row r="16" spans="1:15" ht="12.75">
      <c r="A16" s="25" t="s">
        <v>0</v>
      </c>
      <c r="B16" s="1">
        <f>SUM(B6:B15)</f>
        <v>2048</v>
      </c>
      <c r="C16" s="4">
        <f>SUM(C6:C15)</f>
        <v>930235.8293882654</v>
      </c>
      <c r="D16" s="4">
        <f aca="true" t="shared" si="2" ref="D16:N16">SUM(D6:D15)</f>
        <v>968929.4810606975</v>
      </c>
      <c r="E16" s="176">
        <f t="shared" si="2"/>
        <v>1009003</v>
      </c>
      <c r="F16" s="145">
        <f t="shared" si="2"/>
        <v>1050584</v>
      </c>
      <c r="G16" s="145">
        <f t="shared" si="2"/>
        <v>1089737.51</v>
      </c>
      <c r="H16" s="4">
        <f t="shared" si="2"/>
        <v>1119394.5899999999</v>
      </c>
      <c r="I16" s="4">
        <f t="shared" si="2"/>
        <v>1131347.5899999999</v>
      </c>
      <c r="J16" s="4">
        <f t="shared" si="2"/>
        <v>1142158.1450999998</v>
      </c>
      <c r="K16" s="4">
        <f t="shared" si="2"/>
        <v>1145404.1450999998</v>
      </c>
      <c r="L16" s="4">
        <f t="shared" si="2"/>
        <v>1150653.1450999998</v>
      </c>
      <c r="M16" s="4">
        <f t="shared" si="2"/>
        <v>1153439.9951</v>
      </c>
      <c r="N16" s="4">
        <f t="shared" si="2"/>
        <v>1158888.1551</v>
      </c>
      <c r="O16" s="1"/>
    </row>
    <row r="17" spans="1:15" ht="22.5">
      <c r="A17" s="5" t="s">
        <v>172</v>
      </c>
      <c r="B17" s="38">
        <f>B16/10</f>
        <v>204.8</v>
      </c>
      <c r="C17" s="4">
        <f aca="true" t="shared" si="3" ref="C17:K17">C16/10</f>
        <v>93023.58293882654</v>
      </c>
      <c r="D17" s="4">
        <f t="shared" si="3"/>
        <v>96892.94810606974</v>
      </c>
      <c r="E17" s="4">
        <f t="shared" si="3"/>
        <v>100900.3</v>
      </c>
      <c r="F17" s="4">
        <f t="shared" si="3"/>
        <v>105058.4</v>
      </c>
      <c r="G17" s="4">
        <f t="shared" si="3"/>
        <v>108973.751</v>
      </c>
      <c r="H17" s="4">
        <f t="shared" si="3"/>
        <v>111939.45899999999</v>
      </c>
      <c r="I17" s="4">
        <f t="shared" si="3"/>
        <v>113134.75899999999</v>
      </c>
      <c r="J17" s="4">
        <f t="shared" si="3"/>
        <v>114215.81450999998</v>
      </c>
      <c r="K17" s="4">
        <f t="shared" si="3"/>
        <v>114540.41450999999</v>
      </c>
      <c r="L17" s="4">
        <f>L16/10</f>
        <v>115065.31450999998</v>
      </c>
      <c r="M17" s="4">
        <f>M16/10</f>
        <v>115343.99951</v>
      </c>
      <c r="N17" s="4">
        <f>N16/10</f>
        <v>115888.81551000001</v>
      </c>
      <c r="O17" s="1"/>
    </row>
    <row r="18" spans="1:15" ht="24.75" customHeight="1">
      <c r="A18" s="5" t="s">
        <v>171</v>
      </c>
      <c r="B18" s="1"/>
      <c r="C18" s="8">
        <f>C17/$B17</f>
        <v>454.21671356848896</v>
      </c>
      <c r="D18" s="8">
        <f aca="true" t="shared" si="4" ref="D18:N18">D17/$B17</f>
        <v>473.1100981741686</v>
      </c>
      <c r="E18" s="8">
        <f t="shared" si="4"/>
        <v>492.67724609375</v>
      </c>
      <c r="F18" s="8">
        <f t="shared" si="4"/>
        <v>512.9804687499999</v>
      </c>
      <c r="G18" s="8">
        <f t="shared" si="4"/>
        <v>532.0983935546875</v>
      </c>
      <c r="H18" s="8">
        <f t="shared" si="4"/>
        <v>546.5793896484374</v>
      </c>
      <c r="I18" s="8">
        <f t="shared" si="4"/>
        <v>552.4158154296874</v>
      </c>
      <c r="J18" s="8">
        <f t="shared" si="4"/>
        <v>557.6944067871093</v>
      </c>
      <c r="K18" s="8">
        <f t="shared" si="4"/>
        <v>559.2793677246093</v>
      </c>
      <c r="L18" s="8">
        <f t="shared" si="4"/>
        <v>561.8423560058593</v>
      </c>
      <c r="M18" s="8">
        <f t="shared" si="4"/>
        <v>563.2031226074218</v>
      </c>
      <c r="N18" s="8">
        <f t="shared" si="4"/>
        <v>565.8633569824219</v>
      </c>
      <c r="O18" s="1"/>
    </row>
    <row r="19" spans="1:15" ht="39" customHeight="1">
      <c r="A19" s="5" t="s">
        <v>39</v>
      </c>
      <c r="B19" s="1">
        <v>220</v>
      </c>
      <c r="C19" s="4">
        <f>C18*$B19</f>
        <v>99927.67698506758</v>
      </c>
      <c r="D19" s="4">
        <f aca="true" t="shared" si="5" ref="D19:N19">D18*$B19</f>
        <v>104084.2215983171</v>
      </c>
      <c r="E19" s="4">
        <f t="shared" si="5"/>
        <v>108388.994140625</v>
      </c>
      <c r="F19" s="4">
        <f t="shared" si="5"/>
        <v>112855.70312499997</v>
      </c>
      <c r="G19" s="4">
        <f t="shared" si="5"/>
        <v>117061.64658203124</v>
      </c>
      <c r="H19" s="4">
        <f t="shared" si="5"/>
        <v>120247.46572265623</v>
      </c>
      <c r="I19" s="4">
        <f t="shared" si="5"/>
        <v>121531.47939453123</v>
      </c>
      <c r="J19" s="4">
        <f t="shared" si="5"/>
        <v>122692.76949316404</v>
      </c>
      <c r="K19" s="4">
        <f t="shared" si="5"/>
        <v>123041.46089941404</v>
      </c>
      <c r="L19" s="4">
        <f t="shared" si="5"/>
        <v>123605.31832128904</v>
      </c>
      <c r="M19" s="15">
        <f t="shared" si="5"/>
        <v>123904.68697363281</v>
      </c>
      <c r="N19" s="15">
        <f t="shared" si="5"/>
        <v>124489.93853613282</v>
      </c>
      <c r="O19" s="1"/>
    </row>
    <row r="20" ht="9.75" customHeight="1"/>
    <row r="21" ht="7.5" customHeight="1"/>
    <row r="22" spans="1:15" ht="14.25" customHeight="1">
      <c r="A22" s="198" t="s">
        <v>30</v>
      </c>
      <c r="B22" s="199"/>
      <c r="C22" s="199"/>
      <c r="D22" s="199"/>
      <c r="E22" s="199"/>
      <c r="F22" s="20"/>
      <c r="G22" s="20"/>
      <c r="H22" s="20"/>
      <c r="I22" s="20"/>
      <c r="J22" s="20"/>
      <c r="K22" s="20"/>
      <c r="L22" s="20"/>
      <c r="M22" s="20"/>
      <c r="N22" s="20"/>
      <c r="O22" s="20"/>
    </row>
    <row r="23" spans="1:15" ht="14.25" customHeight="1">
      <c r="A23" s="107"/>
      <c r="B23" s="108"/>
      <c r="C23" s="108"/>
      <c r="D23" s="108"/>
      <c r="E23" s="108"/>
      <c r="F23" s="108"/>
      <c r="G23" s="108"/>
      <c r="H23" s="108"/>
      <c r="I23" s="108"/>
      <c r="J23" s="108"/>
      <c r="K23" s="108"/>
      <c r="L23" s="108"/>
      <c r="M23" s="108"/>
      <c r="N23" s="108"/>
      <c r="O23" s="108"/>
    </row>
    <row r="24" ht="8.25" customHeight="1"/>
    <row r="25" spans="1:8" ht="12.75">
      <c r="A25" s="11" t="s">
        <v>18</v>
      </c>
      <c r="B25" s="11" t="s">
        <v>13</v>
      </c>
      <c r="D25" s="198"/>
      <c r="E25" s="199"/>
      <c r="F25" s="199"/>
      <c r="G25" s="199"/>
      <c r="H25" s="199"/>
    </row>
    <row r="26" spans="1:2" ht="12.75">
      <c r="A26" s="1" t="s">
        <v>14</v>
      </c>
      <c r="B26" s="13">
        <v>1144</v>
      </c>
    </row>
    <row r="27" spans="1:2" ht="12.75">
      <c r="A27" s="1" t="s">
        <v>15</v>
      </c>
      <c r="B27" s="13">
        <v>1555</v>
      </c>
    </row>
    <row r="28" spans="1:2" ht="12.75">
      <c r="A28" s="1" t="s">
        <v>16</v>
      </c>
      <c r="B28" s="13">
        <v>1365</v>
      </c>
    </row>
    <row r="29" spans="1:2" ht="12.75">
      <c r="A29" s="1" t="s">
        <v>17</v>
      </c>
      <c r="B29" s="13">
        <v>0</v>
      </c>
    </row>
    <row r="30" spans="1:2" ht="12.75">
      <c r="A30" s="1" t="s">
        <v>19</v>
      </c>
      <c r="B30" s="13">
        <v>1000</v>
      </c>
    </row>
    <row r="31" spans="1:2" ht="12.75">
      <c r="A31" s="1" t="s">
        <v>20</v>
      </c>
      <c r="B31" s="13">
        <v>1000</v>
      </c>
    </row>
    <row r="32" spans="1:2" ht="12.75">
      <c r="A32" s="1" t="s">
        <v>21</v>
      </c>
      <c r="B32" s="13">
        <v>1300</v>
      </c>
    </row>
    <row r="33" spans="1:2" ht="12.75">
      <c r="A33" s="1" t="s">
        <v>22</v>
      </c>
      <c r="B33" s="13">
        <v>0</v>
      </c>
    </row>
    <row r="34" spans="1:2" ht="12.75">
      <c r="A34" s="1" t="s">
        <v>23</v>
      </c>
      <c r="B34" s="13">
        <v>1755</v>
      </c>
    </row>
    <row r="35" spans="1:2" ht="12.75">
      <c r="A35" s="1" t="s">
        <v>24</v>
      </c>
      <c r="B35" s="13">
        <v>2430</v>
      </c>
    </row>
    <row r="36" spans="1:2" ht="12.75">
      <c r="A36" s="1" t="s">
        <v>25</v>
      </c>
      <c r="B36" s="13">
        <f>SUM(B26:B35)/10</f>
        <v>1154.9</v>
      </c>
    </row>
    <row r="37" spans="1:2" ht="25.5">
      <c r="A37" s="12" t="s">
        <v>26</v>
      </c>
      <c r="B37" s="13">
        <f>SUM(B36)/24</f>
        <v>48.12083333333334</v>
      </c>
    </row>
  </sheetData>
  <mergeCells count="6">
    <mergeCell ref="A1:O1"/>
    <mergeCell ref="A2:O2"/>
    <mergeCell ref="K4:O4"/>
    <mergeCell ref="D25:H25"/>
    <mergeCell ref="A3:O3"/>
    <mergeCell ref="A22:E22"/>
  </mergeCells>
  <printOptions/>
  <pageMargins left="0.25" right="0.25" top="0.75" bottom="1" header="0.5" footer="0.5"/>
  <pageSetup fitToHeight="2" fitToWidth="2" horizontalDpi="600" verticalDpi="600" orientation="landscape" scale="83" r:id="rId3"/>
  <headerFooter alignWithMargins="0">
    <oddFooter>&amp;L&amp;Z&amp;F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workbookViewId="0" topLeftCell="A1"/>
  </sheetViews>
  <sheetFormatPr defaultColWidth="9.140625" defaultRowHeight="12.75"/>
  <cols>
    <col min="1" max="1" width="21.57421875" style="0" customWidth="1"/>
    <col min="2" max="16" width="9.7109375" style="0" customWidth="1"/>
    <col min="24" max="24" width="8.140625" style="0" customWidth="1"/>
  </cols>
  <sheetData>
    <row r="1" spans="1:25" ht="18">
      <c r="A1" s="65" t="s">
        <v>60</v>
      </c>
      <c r="B1" s="65"/>
      <c r="C1" s="65"/>
      <c r="D1" s="65"/>
      <c r="E1" s="65"/>
      <c r="F1" s="65"/>
      <c r="G1" s="65"/>
      <c r="H1" s="65"/>
      <c r="I1" s="65"/>
      <c r="J1" s="65"/>
      <c r="K1" s="65"/>
      <c r="L1" s="65"/>
      <c r="M1" s="65"/>
      <c r="N1" s="65"/>
      <c r="O1" s="65"/>
      <c r="P1" s="65"/>
      <c r="Q1" s="22"/>
      <c r="R1" s="22"/>
      <c r="S1" s="22"/>
      <c r="T1" s="22"/>
      <c r="U1" s="22"/>
      <c r="V1" s="22"/>
      <c r="W1" s="22"/>
      <c r="X1" s="22"/>
      <c r="Y1" s="22"/>
    </row>
    <row r="2" spans="1:25" ht="18">
      <c r="A2" s="65" t="s">
        <v>239</v>
      </c>
      <c r="B2" s="65"/>
      <c r="C2" s="65"/>
      <c r="D2" s="65"/>
      <c r="E2" s="65"/>
      <c r="F2" s="65"/>
      <c r="G2" s="65"/>
      <c r="H2" s="65"/>
      <c r="I2" s="65"/>
      <c r="J2" s="65"/>
      <c r="K2" s="65"/>
      <c r="L2" s="65"/>
      <c r="M2" s="65"/>
      <c r="N2" s="65"/>
      <c r="O2" s="65"/>
      <c r="P2" s="65"/>
      <c r="Q2" s="22"/>
      <c r="R2" s="22"/>
      <c r="S2" s="22"/>
      <c r="T2" s="22"/>
      <c r="U2" s="22"/>
      <c r="V2" s="22"/>
      <c r="W2" s="22"/>
      <c r="X2" s="22"/>
      <c r="Y2" s="22"/>
    </row>
    <row r="3" spans="1:25" ht="17.25" thickBot="1">
      <c r="A3" s="207" t="s">
        <v>240</v>
      </c>
      <c r="B3" s="207"/>
      <c r="C3" s="207"/>
      <c r="D3" s="207"/>
      <c r="E3" s="207"/>
      <c r="F3" s="207"/>
      <c r="G3" s="207"/>
      <c r="H3" s="207"/>
      <c r="I3" s="208"/>
      <c r="J3" s="208"/>
      <c r="K3" s="208"/>
      <c r="L3" s="208"/>
      <c r="M3" s="208"/>
      <c r="N3" s="101"/>
      <c r="O3" s="101"/>
      <c r="P3" s="106" t="s">
        <v>245</v>
      </c>
      <c r="Q3" s="101"/>
      <c r="R3" s="101"/>
      <c r="V3" s="22"/>
      <c r="W3" s="22"/>
      <c r="X3" s="22"/>
      <c r="Y3" s="22"/>
    </row>
    <row r="4" spans="1:16" ht="13.5" thickTop="1">
      <c r="A4" s="66"/>
      <c r="B4" s="67" t="s">
        <v>61</v>
      </c>
      <c r="C4" s="67"/>
      <c r="D4" s="67"/>
      <c r="E4" s="67" t="s">
        <v>62</v>
      </c>
      <c r="F4" s="67"/>
      <c r="G4" s="67"/>
      <c r="H4" s="67" t="s">
        <v>63</v>
      </c>
      <c r="I4" s="67"/>
      <c r="J4" s="67"/>
      <c r="K4" s="67" t="s">
        <v>64</v>
      </c>
      <c r="L4" s="67"/>
      <c r="M4" s="67"/>
      <c r="N4" s="67" t="s">
        <v>65</v>
      </c>
      <c r="O4" s="67"/>
      <c r="P4" s="68"/>
    </row>
    <row r="5" spans="1:16" ht="12.75">
      <c r="A5" s="69"/>
      <c r="B5" s="81" t="s">
        <v>191</v>
      </c>
      <c r="C5" s="171" t="s">
        <v>232</v>
      </c>
      <c r="D5" s="71" t="s">
        <v>66</v>
      </c>
      <c r="E5" s="81" t="s">
        <v>191</v>
      </c>
      <c r="F5" s="171" t="s">
        <v>232</v>
      </c>
      <c r="G5" s="71" t="s">
        <v>66</v>
      </c>
      <c r="H5" s="81" t="s">
        <v>191</v>
      </c>
      <c r="I5" s="171" t="s">
        <v>232</v>
      </c>
      <c r="J5" s="71" t="s">
        <v>66</v>
      </c>
      <c r="K5" s="81" t="s">
        <v>191</v>
      </c>
      <c r="L5" s="171" t="s">
        <v>232</v>
      </c>
      <c r="M5" s="71" t="s">
        <v>66</v>
      </c>
      <c r="N5" s="81" t="s">
        <v>191</v>
      </c>
      <c r="O5" s="171" t="s">
        <v>232</v>
      </c>
      <c r="P5" s="72" t="s">
        <v>66</v>
      </c>
    </row>
    <row r="6" spans="1:16" ht="0.75" customHeight="1" thickBot="1">
      <c r="A6" s="73" t="s">
        <v>67</v>
      </c>
      <c r="B6" s="74"/>
      <c r="C6" s="147"/>
      <c r="D6" s="75"/>
      <c r="E6" s="74"/>
      <c r="F6" s="74"/>
      <c r="G6" s="75"/>
      <c r="H6" s="76"/>
      <c r="I6" s="76"/>
      <c r="J6" s="75"/>
      <c r="K6" s="76"/>
      <c r="L6" s="76"/>
      <c r="M6" s="75"/>
      <c r="N6" s="76"/>
      <c r="O6" s="76"/>
      <c r="P6" s="75"/>
    </row>
    <row r="7" spans="1:16" ht="13.5" customHeight="1" thickBot="1">
      <c r="A7" s="73" t="s">
        <v>190</v>
      </c>
      <c r="B7" s="172">
        <v>119798</v>
      </c>
      <c r="C7" s="172">
        <v>127087</v>
      </c>
      <c r="D7" s="77">
        <f>+(C7/B7)-1</f>
        <v>0.06084408754737147</v>
      </c>
      <c r="E7" s="172">
        <v>124647</v>
      </c>
      <c r="F7" s="172">
        <v>131857</v>
      </c>
      <c r="G7" s="77">
        <f>+(F7/E7)-1</f>
        <v>0.05784334961932491</v>
      </c>
      <c r="H7" s="172">
        <v>129680</v>
      </c>
      <c r="I7" s="172">
        <v>136799</v>
      </c>
      <c r="J7" s="77">
        <f>+(I7/H7)-1</f>
        <v>0.05489666872301058</v>
      </c>
      <c r="K7" s="172">
        <v>134908</v>
      </c>
      <c r="L7" s="172">
        <v>141920</v>
      </c>
      <c r="M7" s="77">
        <f>+(L7/K7)-1</f>
        <v>0.051976161532303555</v>
      </c>
      <c r="N7" s="172">
        <v>139672</v>
      </c>
      <c r="O7" s="172">
        <v>146568</v>
      </c>
      <c r="P7" s="77">
        <f>+(O7/N7)-1</f>
        <v>0.049372816312503565</v>
      </c>
    </row>
    <row r="8" spans="1:16" ht="34.5" customHeight="1" hidden="1">
      <c r="A8" s="78" t="s">
        <v>68</v>
      </c>
      <c r="B8" s="172"/>
      <c r="C8" s="172"/>
      <c r="D8" s="77" t="e">
        <f>+(C8/B8)-1</f>
        <v>#DIV/0!</v>
      </c>
      <c r="E8" s="172"/>
      <c r="F8" s="172"/>
      <c r="G8" s="77" t="e">
        <f>+(F8/E8)-1</f>
        <v>#DIV/0!</v>
      </c>
      <c r="H8" s="172"/>
      <c r="I8" s="172"/>
      <c r="J8" s="77" t="e">
        <f>+(I8/H8)-1</f>
        <v>#DIV/0!</v>
      </c>
      <c r="K8" s="172"/>
      <c r="L8" s="172"/>
      <c r="M8" s="77" t="e">
        <f>+(L8/K8)-1</f>
        <v>#DIV/0!</v>
      </c>
      <c r="N8" s="172"/>
      <c r="O8" s="172"/>
      <c r="P8" s="77" t="e">
        <f>+(O8/N8)-1</f>
        <v>#DIV/0!</v>
      </c>
    </row>
    <row r="9" spans="1:16" ht="31.5" customHeight="1" thickBot="1" thickTop="1">
      <c r="A9" s="78" t="s">
        <v>192</v>
      </c>
      <c r="B9" s="172">
        <v>106970</v>
      </c>
      <c r="C9" s="172">
        <v>111484</v>
      </c>
      <c r="D9" s="77">
        <f>+(C9/B9)-1</f>
        <v>0.04219874731233064</v>
      </c>
      <c r="E9" s="172">
        <v>111419</v>
      </c>
      <c r="F9" s="172">
        <v>116121</v>
      </c>
      <c r="G9" s="77">
        <f>+(F9/E9)-1</f>
        <v>0.04220106086035602</v>
      </c>
      <c r="H9" s="172">
        <v>116032</v>
      </c>
      <c r="I9" s="172">
        <v>120929</v>
      </c>
      <c r="J9" s="77">
        <f>+(I9/H9)-1</f>
        <v>0.04220387479316057</v>
      </c>
      <c r="K9" s="172">
        <v>120814</v>
      </c>
      <c r="L9" s="172">
        <v>125888</v>
      </c>
      <c r="M9" s="77">
        <f>+(L9/K9)-1</f>
        <v>0.04199844388895335</v>
      </c>
      <c r="N9" s="172">
        <v>125213</v>
      </c>
      <c r="O9" s="172">
        <v>130501</v>
      </c>
      <c r="P9" s="77">
        <f>+(O9/N9)-1</f>
        <v>0.04223203660961716</v>
      </c>
    </row>
    <row r="10" spans="1:36" ht="33" customHeight="1" thickBot="1" thickTop="1">
      <c r="A10" s="79" t="s">
        <v>193</v>
      </c>
      <c r="B10" s="172">
        <v>95339</v>
      </c>
      <c r="C10" s="172">
        <v>99828</v>
      </c>
      <c r="D10" s="77">
        <f>+(C10/B10)-1</f>
        <v>0.0470846138516241</v>
      </c>
      <c r="E10" s="172">
        <v>99354</v>
      </c>
      <c r="F10" s="172">
        <v>104084</v>
      </c>
      <c r="G10" s="77">
        <f>+(F10/E10)-1</f>
        <v>0.047607544739014074</v>
      </c>
      <c r="H10" s="172">
        <v>103512</v>
      </c>
      <c r="I10" s="172">
        <v>108389</v>
      </c>
      <c r="J10" s="77">
        <f>+(I10/H10)-1</f>
        <v>0.0471153103021873</v>
      </c>
      <c r="K10" s="172">
        <v>107825</v>
      </c>
      <c r="L10" s="172">
        <v>112856</v>
      </c>
      <c r="M10" s="77">
        <f>+(L10/K10)-1</f>
        <v>0.04665893809413402</v>
      </c>
      <c r="N10" s="172">
        <v>111885</v>
      </c>
      <c r="O10" s="172">
        <v>117062</v>
      </c>
      <c r="P10" s="77">
        <f>+(O10/N10)-1</f>
        <v>0.0462707244045224</v>
      </c>
      <c r="AG10" t="s">
        <v>36</v>
      </c>
      <c r="AJ10" t="s">
        <v>36</v>
      </c>
    </row>
    <row r="11" spans="1:16" ht="54.95" customHeight="1" thickBot="1" thickTop="1">
      <c r="A11" s="80" t="s">
        <v>197</v>
      </c>
      <c r="B11" s="173">
        <f>SUM(B7:B10)</f>
        <v>322107</v>
      </c>
      <c r="C11" s="173">
        <f>SUM(C7:C10)</f>
        <v>338399</v>
      </c>
      <c r="D11" s="77">
        <f>+(C11/B11)-1</f>
        <v>0.05057946582967765</v>
      </c>
      <c r="E11" s="173">
        <f>SUM(E7:E10)</f>
        <v>335420</v>
      </c>
      <c r="F11" s="173">
        <f>SUM(F7:F10)</f>
        <v>352062</v>
      </c>
      <c r="G11" s="77">
        <f>+(F10/E10)-1</f>
        <v>0.047607544739014074</v>
      </c>
      <c r="H11" s="173">
        <f>SUM(H7:H10)</f>
        <v>349224</v>
      </c>
      <c r="I11" s="173">
        <f>SUM(I7:I10)</f>
        <v>366117</v>
      </c>
      <c r="J11" s="77">
        <f>+(I11/H11)-1</f>
        <v>0.04837296405745306</v>
      </c>
      <c r="K11" s="173">
        <f>SUM(K7:K10)</f>
        <v>363547</v>
      </c>
      <c r="L11" s="173">
        <f>SUM(L7:L10)</f>
        <v>380664</v>
      </c>
      <c r="M11" s="77">
        <f>+(L10/K10)-1</f>
        <v>0.04665893809413402</v>
      </c>
      <c r="N11" s="173">
        <f>SUM(N7:N10)</f>
        <v>376770</v>
      </c>
      <c r="O11" s="173">
        <f>SUM(O7:O10)</f>
        <v>394131</v>
      </c>
      <c r="P11" s="77">
        <f>+(O11/N11)-1</f>
        <v>0.04607850943546454</v>
      </c>
    </row>
    <row r="12" spans="1:25" ht="14.25" thickBot="1" thickTop="1">
      <c r="A12" s="70"/>
      <c r="B12" s="70"/>
      <c r="C12" s="70"/>
      <c r="D12" s="70"/>
      <c r="E12" s="70"/>
      <c r="F12" s="70"/>
      <c r="G12" s="70"/>
      <c r="H12" s="70"/>
      <c r="I12" s="70"/>
      <c r="J12" s="70"/>
      <c r="K12" s="70"/>
      <c r="L12" s="70"/>
      <c r="M12" s="70"/>
      <c r="N12" s="70"/>
      <c r="O12" s="70"/>
      <c r="P12" s="70"/>
      <c r="Q12" s="70"/>
      <c r="R12" s="70"/>
      <c r="S12" s="70"/>
      <c r="T12" s="70"/>
      <c r="U12" s="70"/>
      <c r="V12" s="70"/>
      <c r="W12" s="70"/>
      <c r="X12" s="70"/>
      <c r="Y12" s="70"/>
    </row>
    <row r="13" spans="1:16" ht="13.5" thickTop="1">
      <c r="A13" s="66"/>
      <c r="B13" s="67" t="s">
        <v>69</v>
      </c>
      <c r="C13" s="67"/>
      <c r="D13" s="68"/>
      <c r="E13" s="67" t="s">
        <v>70</v>
      </c>
      <c r="F13" s="67"/>
      <c r="G13" s="68"/>
      <c r="H13" s="67" t="s">
        <v>71</v>
      </c>
      <c r="I13" s="67"/>
      <c r="J13" s="68"/>
      <c r="K13" s="67" t="s">
        <v>72</v>
      </c>
      <c r="L13" s="67"/>
      <c r="M13" s="68"/>
      <c r="N13" s="67" t="s">
        <v>73</v>
      </c>
      <c r="O13" s="67"/>
      <c r="P13" s="68"/>
    </row>
    <row r="14" spans="1:16" ht="12.75">
      <c r="A14" s="69"/>
      <c r="B14" s="81" t="s">
        <v>191</v>
      </c>
      <c r="C14" s="171" t="s">
        <v>232</v>
      </c>
      <c r="D14" s="72" t="s">
        <v>66</v>
      </c>
      <c r="E14" s="81" t="s">
        <v>191</v>
      </c>
      <c r="F14" s="171" t="s">
        <v>232</v>
      </c>
      <c r="G14" s="72" t="s">
        <v>66</v>
      </c>
      <c r="H14" s="81" t="s">
        <v>191</v>
      </c>
      <c r="I14" s="171" t="s">
        <v>232</v>
      </c>
      <c r="J14" s="72" t="s">
        <v>66</v>
      </c>
      <c r="K14" s="81" t="s">
        <v>191</v>
      </c>
      <c r="L14" s="171" t="s">
        <v>232</v>
      </c>
      <c r="M14" s="72" t="s">
        <v>66</v>
      </c>
      <c r="N14" s="81" t="s">
        <v>191</v>
      </c>
      <c r="O14" s="171" t="s">
        <v>232</v>
      </c>
      <c r="P14" s="72" t="s">
        <v>66</v>
      </c>
    </row>
    <row r="15" spans="1:16" ht="0.75" customHeight="1">
      <c r="A15" s="73" t="s">
        <v>67</v>
      </c>
      <c r="B15" s="76"/>
      <c r="C15" s="76"/>
      <c r="D15" s="75"/>
      <c r="E15" s="76"/>
      <c r="F15" s="76"/>
      <c r="G15" s="75"/>
      <c r="H15" s="76"/>
      <c r="I15" s="76"/>
      <c r="J15" s="75"/>
      <c r="K15" s="76"/>
      <c r="L15" s="76"/>
      <c r="M15" s="75"/>
      <c r="N15" s="76"/>
      <c r="O15" s="76"/>
      <c r="P15" s="75"/>
    </row>
    <row r="16" spans="1:16" ht="13.5" customHeight="1" thickBot="1">
      <c r="A16" s="73" t="s">
        <v>190</v>
      </c>
      <c r="B16" s="172">
        <v>143669</v>
      </c>
      <c r="C16" s="172">
        <v>150618</v>
      </c>
      <c r="D16" s="77">
        <f>+(C16/B16)-1</f>
        <v>0.048368123951583186</v>
      </c>
      <c r="E16" s="172">
        <v>145415</v>
      </c>
      <c r="F16" s="172">
        <v>152432</v>
      </c>
      <c r="G16" s="77">
        <f>+(F16/E16)-1</f>
        <v>0.048254994326582645</v>
      </c>
      <c r="H16" s="172">
        <v>146518</v>
      </c>
      <c r="I16" s="172">
        <v>153577</v>
      </c>
      <c r="J16" s="77">
        <f>+(I16/H16)-1</f>
        <v>0.048178380813278965</v>
      </c>
      <c r="K16" s="172">
        <v>147073</v>
      </c>
      <c r="L16" s="172">
        <v>153692</v>
      </c>
      <c r="M16" s="77">
        <f>+(L16/K16)-1</f>
        <v>0.045004861531348306</v>
      </c>
      <c r="N16" s="172">
        <v>148033</v>
      </c>
      <c r="O16" s="172">
        <v>154708</v>
      </c>
      <c r="P16" s="77">
        <f>+(O16/N16)-1</f>
        <v>0.04509129721075711</v>
      </c>
    </row>
    <row r="17" spans="1:16" ht="34.5" customHeight="1" hidden="1">
      <c r="A17" s="78" t="s">
        <v>68</v>
      </c>
      <c r="B17" s="172"/>
      <c r="C17" s="172"/>
      <c r="D17" s="77" t="e">
        <f>+(C17/B17)-1</f>
        <v>#DIV/0!</v>
      </c>
      <c r="E17" s="172"/>
      <c r="F17" s="172"/>
      <c r="G17" s="77" t="e">
        <f>+(F17/E17)-1</f>
        <v>#DIV/0!</v>
      </c>
      <c r="H17" s="172"/>
      <c r="I17" s="172"/>
      <c r="J17" s="77" t="e">
        <f>+(I17/H17)-1</f>
        <v>#DIV/0!</v>
      </c>
      <c r="K17" s="172"/>
      <c r="L17" s="172"/>
      <c r="M17" s="77" t="e">
        <f>+(L17/K17)-1</f>
        <v>#DIV/0!</v>
      </c>
      <c r="N17" s="172"/>
      <c r="O17" s="172"/>
      <c r="P17" s="77" t="e">
        <f>+(O17/N17)-1</f>
        <v>#DIV/0!</v>
      </c>
    </row>
    <row r="18" spans="1:16" ht="31.5" customHeight="1" thickBot="1" thickTop="1">
      <c r="A18" s="78" t="s">
        <v>192</v>
      </c>
      <c r="B18" s="172">
        <v>128481</v>
      </c>
      <c r="C18" s="172">
        <v>134171</v>
      </c>
      <c r="D18" s="77">
        <f>+(C18/B18)-1</f>
        <v>0.04428670387061118</v>
      </c>
      <c r="E18" s="172">
        <v>129621</v>
      </c>
      <c r="F18" s="172">
        <v>135340</v>
      </c>
      <c r="G18" s="77">
        <f>+(F18/E18)-1</f>
        <v>0.04412093719381893</v>
      </c>
      <c r="H18" s="172">
        <v>130849</v>
      </c>
      <c r="I18" s="172">
        <v>136644</v>
      </c>
      <c r="J18" s="77">
        <f>+(I18/H18)-1</f>
        <v>0.044287690391214385</v>
      </c>
      <c r="K18" s="172">
        <v>131481</v>
      </c>
      <c r="L18" s="172">
        <v>137296</v>
      </c>
      <c r="M18" s="77">
        <f>+(L18/K18)-1</f>
        <v>0.0442269225211247</v>
      </c>
      <c r="N18" s="174">
        <v>132219</v>
      </c>
      <c r="O18" s="174">
        <v>137790</v>
      </c>
      <c r="P18" s="77">
        <f>+(O18/N18)-1</f>
        <v>0.04213464025593905</v>
      </c>
    </row>
    <row r="19" spans="1:36" ht="33" customHeight="1" thickBot="1" thickTop="1">
      <c r="A19" s="79" t="s">
        <v>193</v>
      </c>
      <c r="B19" s="172">
        <v>114973</v>
      </c>
      <c r="C19" s="172">
        <v>120247</v>
      </c>
      <c r="D19" s="77">
        <f>+(C19/B19)-1</f>
        <v>0.04587163942838757</v>
      </c>
      <c r="E19" s="172">
        <v>116218</v>
      </c>
      <c r="F19" s="172">
        <v>121531</v>
      </c>
      <c r="G19" s="77">
        <f>+(F19/E19)-1</f>
        <v>0.04571580994338231</v>
      </c>
      <c r="H19" s="172">
        <v>117346</v>
      </c>
      <c r="I19" s="172">
        <v>122693</v>
      </c>
      <c r="J19" s="77">
        <f>+(I19/H19)-1</f>
        <v>0.04556610365926406</v>
      </c>
      <c r="K19" s="172">
        <v>117690</v>
      </c>
      <c r="L19" s="172">
        <v>123041</v>
      </c>
      <c r="M19" s="77">
        <f>+(L19/K19)-1</f>
        <v>0.04546690457982838</v>
      </c>
      <c r="N19" s="172">
        <v>118230</v>
      </c>
      <c r="O19" s="172">
        <v>123605</v>
      </c>
      <c r="P19" s="77">
        <f>+(O19/N19)-1</f>
        <v>0.04546223462742116</v>
      </c>
      <c r="AG19" t="s">
        <v>36</v>
      </c>
      <c r="AJ19" t="s">
        <v>36</v>
      </c>
    </row>
    <row r="20" spans="1:16" ht="54.95" customHeight="1" thickBot="1" thickTop="1">
      <c r="A20" s="80" t="s">
        <v>197</v>
      </c>
      <c r="B20" s="173">
        <f>SUM(B16:B19)</f>
        <v>387123</v>
      </c>
      <c r="C20" s="173">
        <f>SUM(C16:C19)</f>
        <v>405036</v>
      </c>
      <c r="D20" s="77">
        <f>+(C20/B20)-1</f>
        <v>0.04627211506420448</v>
      </c>
      <c r="E20" s="173">
        <f>SUM(E16:E19)</f>
        <v>391254</v>
      </c>
      <c r="F20" s="173">
        <f>SUM(F16:F19)</f>
        <v>409303</v>
      </c>
      <c r="G20" s="77">
        <f>+(F20/E20)-1</f>
        <v>0.04613115776452115</v>
      </c>
      <c r="H20" s="173">
        <f>SUM(H16:H19)</f>
        <v>394713</v>
      </c>
      <c r="I20" s="173">
        <f>SUM(I16:I19)</f>
        <v>412914</v>
      </c>
      <c r="J20" s="77">
        <f>+(I20/H20)-1</f>
        <v>0.0461119851639038</v>
      </c>
      <c r="K20" s="173">
        <f>SUM(K16:K19)</f>
        <v>396244</v>
      </c>
      <c r="L20" s="173">
        <f>SUM(L16:L19)</f>
        <v>414029</v>
      </c>
      <c r="M20" s="77">
        <f>+(L20/K20)-1</f>
        <v>0.044883960388043764</v>
      </c>
      <c r="N20" s="173">
        <f>SUM(N16:N19)</f>
        <v>398482</v>
      </c>
      <c r="O20" s="173">
        <f>SUM(O16:O19)</f>
        <v>416103</v>
      </c>
      <c r="P20" s="77">
        <f>+(O20/N20)-1</f>
        <v>0.04422031609959798</v>
      </c>
    </row>
    <row r="21" spans="1:25" ht="13.5" thickTop="1">
      <c r="A21" s="70"/>
      <c r="B21" s="70"/>
      <c r="C21" s="70"/>
      <c r="D21" s="70"/>
      <c r="E21" s="70"/>
      <c r="F21" s="70"/>
      <c r="G21" s="70"/>
      <c r="H21" s="70"/>
      <c r="I21" s="70"/>
      <c r="J21" s="70"/>
      <c r="K21" s="70"/>
      <c r="L21" s="70"/>
      <c r="M21" s="70"/>
      <c r="N21" s="109" t="s">
        <v>237</v>
      </c>
      <c r="O21" s="70"/>
      <c r="P21" s="70"/>
      <c r="Q21" s="70"/>
      <c r="R21" s="70"/>
      <c r="S21" s="70"/>
      <c r="T21" s="70"/>
      <c r="U21" s="70"/>
      <c r="V21" s="70"/>
      <c r="W21" s="70"/>
      <c r="X21" s="70"/>
      <c r="Y21" s="70"/>
    </row>
    <row r="22" spans="1:25" ht="13.5" thickBot="1">
      <c r="A22" s="203" t="s">
        <v>198</v>
      </c>
      <c r="B22" s="203"/>
      <c r="C22" s="203"/>
      <c r="D22" s="203"/>
      <c r="E22" s="203"/>
      <c r="F22" s="203"/>
      <c r="G22" s="81"/>
      <c r="H22" s="70"/>
      <c r="I22" s="70"/>
      <c r="J22" s="70"/>
      <c r="K22" s="109"/>
      <c r="L22" s="70"/>
      <c r="M22" s="70"/>
      <c r="N22" s="159" t="s">
        <v>195</v>
      </c>
      <c r="O22" s="159" t="s">
        <v>238</v>
      </c>
      <c r="P22" s="159"/>
      <c r="Q22" s="70"/>
      <c r="R22" s="70"/>
      <c r="S22" s="70"/>
      <c r="T22" s="70"/>
      <c r="U22" s="70"/>
      <c r="V22" s="70"/>
      <c r="W22" s="70"/>
      <c r="X22" s="70"/>
      <c r="Y22" s="70"/>
    </row>
    <row r="23" spans="1:25" ht="13.5" thickTop="1">
      <c r="A23" s="66"/>
      <c r="B23" s="67" t="s">
        <v>74</v>
      </c>
      <c r="C23" s="67" t="s">
        <v>62</v>
      </c>
      <c r="D23" s="67" t="s">
        <v>75</v>
      </c>
      <c r="E23" s="67" t="s">
        <v>64</v>
      </c>
      <c r="F23" s="67" t="s">
        <v>65</v>
      </c>
      <c r="G23" s="82" t="s">
        <v>69</v>
      </c>
      <c r="H23" s="82" t="s">
        <v>70</v>
      </c>
      <c r="I23" s="83" t="s">
        <v>71</v>
      </c>
      <c r="J23" s="83" t="s">
        <v>72</v>
      </c>
      <c r="K23" s="83" t="s">
        <v>76</v>
      </c>
      <c r="L23" s="70"/>
      <c r="M23" s="70"/>
      <c r="N23" s="160">
        <f>+$K26+AcctLong!E29</f>
        <v>60913.0453</v>
      </c>
      <c r="O23" s="160">
        <f>+$K26+AcctLong!F29</f>
        <v>61495.7278</v>
      </c>
      <c r="P23" s="70"/>
      <c r="Q23" s="70"/>
      <c r="R23" s="70"/>
      <c r="S23" s="70"/>
      <c r="T23" s="70"/>
      <c r="U23" s="70"/>
      <c r="V23" s="70"/>
      <c r="W23" s="70"/>
      <c r="X23" s="70"/>
      <c r="Y23" s="70"/>
    </row>
    <row r="24" spans="1:25" ht="25.5">
      <c r="A24" s="78" t="s">
        <v>233</v>
      </c>
      <c r="B24" s="84"/>
      <c r="C24" s="84"/>
      <c r="D24" s="84"/>
      <c r="E24" s="84"/>
      <c r="F24" s="84"/>
      <c r="G24" s="85"/>
      <c r="H24" s="85"/>
      <c r="I24" s="86"/>
      <c r="J24" s="86"/>
      <c r="K24" s="87">
        <v>57394</v>
      </c>
      <c r="L24" s="70" t="s">
        <v>236</v>
      </c>
      <c r="M24" s="70"/>
      <c r="N24" s="70"/>
      <c r="O24" s="70"/>
      <c r="P24" s="70"/>
      <c r="Q24" s="70"/>
      <c r="R24" s="70"/>
      <c r="S24" s="70"/>
      <c r="T24" s="70"/>
      <c r="U24" s="70"/>
      <c r="V24" s="70"/>
      <c r="W24" s="70"/>
      <c r="X24" s="70"/>
      <c r="Y24" s="70"/>
    </row>
    <row r="25" spans="1:25" ht="25.5">
      <c r="A25" s="78" t="s">
        <v>234</v>
      </c>
      <c r="B25" s="88">
        <f>+D11</f>
        <v>0.05057946582967765</v>
      </c>
      <c r="C25" s="88">
        <f>+G11</f>
        <v>0.047607544739014074</v>
      </c>
      <c r="D25" s="88">
        <f>+J11</f>
        <v>0.04837296405745306</v>
      </c>
      <c r="E25" s="88">
        <f>+M11</f>
        <v>0.04665893809413402</v>
      </c>
      <c r="F25" s="88">
        <f>+P11</f>
        <v>0.04607850943546454</v>
      </c>
      <c r="G25" s="89">
        <f>+D20</f>
        <v>0.04627211506420448</v>
      </c>
      <c r="H25" s="90">
        <f>+G20</f>
        <v>0.04613115776452115</v>
      </c>
      <c r="I25" s="91">
        <f>+J20</f>
        <v>0.0461119851639038</v>
      </c>
      <c r="J25" s="92">
        <f>+M20</f>
        <v>0.044883960388043764</v>
      </c>
      <c r="K25" s="175">
        <f>ROUND(+P20,4)</f>
        <v>0.0442</v>
      </c>
      <c r="L25" s="70"/>
      <c r="M25" s="70"/>
      <c r="N25" s="70"/>
      <c r="O25" s="70"/>
      <c r="P25" s="70"/>
      <c r="Q25" s="70"/>
      <c r="R25" s="70"/>
      <c r="S25" s="70"/>
      <c r="T25" s="70"/>
      <c r="U25" s="70"/>
      <c r="V25" s="70"/>
      <c r="W25" s="70"/>
      <c r="X25" s="70"/>
      <c r="Y25" s="70"/>
    </row>
    <row r="26" spans="1:25" ht="48" thickBot="1">
      <c r="A26" s="93" t="s">
        <v>235</v>
      </c>
      <c r="B26" s="94"/>
      <c r="C26" s="94"/>
      <c r="D26" s="94"/>
      <c r="E26" s="94"/>
      <c r="F26" s="94"/>
      <c r="G26" s="94"/>
      <c r="H26" s="94"/>
      <c r="I26" s="94"/>
      <c r="J26" s="94"/>
      <c r="K26" s="95">
        <f>K24*(1+K25)</f>
        <v>59930.8148</v>
      </c>
      <c r="L26" s="205" t="s">
        <v>194</v>
      </c>
      <c r="M26" s="206"/>
      <c r="N26" s="206"/>
      <c r="O26" s="206"/>
      <c r="P26" s="206"/>
      <c r="Q26" s="70"/>
      <c r="R26" s="70"/>
      <c r="S26" s="70"/>
      <c r="T26" s="70"/>
      <c r="U26" s="70"/>
      <c r="V26" s="70"/>
      <c r="W26" s="70"/>
      <c r="X26" s="70"/>
      <c r="Y26" s="70"/>
    </row>
    <row r="27" spans="1:25" ht="39.95" customHeight="1" thickTop="1">
      <c r="A27" s="204" t="s">
        <v>196</v>
      </c>
      <c r="B27" s="187"/>
      <c r="C27" s="187"/>
      <c r="D27" s="187"/>
      <c r="E27" s="187"/>
      <c r="F27" s="187"/>
      <c r="G27" s="187"/>
      <c r="H27" s="187"/>
      <c r="I27" s="187"/>
      <c r="J27" s="187"/>
      <c r="K27" s="187"/>
      <c r="L27" s="187"/>
      <c r="M27" s="187"/>
      <c r="N27" s="187"/>
      <c r="O27" s="187"/>
      <c r="P27" s="187"/>
      <c r="Q27" s="96"/>
      <c r="R27" s="96"/>
      <c r="S27" s="96"/>
      <c r="T27" s="96"/>
      <c r="U27" s="96"/>
      <c r="V27" s="96"/>
      <c r="W27" s="96"/>
      <c r="X27" s="96"/>
      <c r="Y27" s="96"/>
    </row>
  </sheetData>
  <mergeCells count="4">
    <mergeCell ref="A22:F22"/>
    <mergeCell ref="A27:P27"/>
    <mergeCell ref="L26:P26"/>
    <mergeCell ref="A3:M3"/>
  </mergeCells>
  <printOptions/>
  <pageMargins left="0.2" right="0.2" top="1" bottom="1" header="0.5" footer="0.5"/>
  <pageSetup fitToHeight="1" fitToWidth="1" horizontalDpi="600" verticalDpi="600" orientation="landscape" scale="76"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workbookViewId="0" topLeftCell="A1"/>
  </sheetViews>
  <sheetFormatPr defaultColWidth="9.140625" defaultRowHeight="12.75"/>
  <cols>
    <col min="1" max="1" width="9.140625" style="149" customWidth="1"/>
    <col min="2" max="2" width="10.7109375" style="149" customWidth="1"/>
    <col min="3" max="3" width="11.28125" style="149" bestFit="1" customWidth="1"/>
    <col min="4" max="5" width="10.28125" style="149" bestFit="1" customWidth="1"/>
    <col min="6" max="7" width="11.28125" style="149" bestFit="1" customWidth="1"/>
    <col min="8" max="16384" width="9.140625" style="149" customWidth="1"/>
  </cols>
  <sheetData>
    <row r="1" ht="12.75">
      <c r="B1" s="149" t="s">
        <v>140</v>
      </c>
    </row>
    <row r="2" ht="12.75">
      <c r="C2" s="149" t="s">
        <v>139</v>
      </c>
    </row>
    <row r="3" spans="2:7" ht="12.75">
      <c r="B3" s="158" t="s">
        <v>138</v>
      </c>
      <c r="C3" s="158">
        <v>7</v>
      </c>
      <c r="D3" s="158">
        <v>8</v>
      </c>
      <c r="E3" s="158">
        <v>9</v>
      </c>
      <c r="F3" s="158">
        <v>10</v>
      </c>
      <c r="G3" s="158">
        <v>11</v>
      </c>
    </row>
    <row r="4" spans="2:7" ht="12.75">
      <c r="B4" s="149" t="s">
        <v>14</v>
      </c>
      <c r="C4" s="157">
        <v>0</v>
      </c>
      <c r="D4" s="157">
        <v>0</v>
      </c>
      <c r="E4" s="157">
        <v>0.03</v>
      </c>
      <c r="F4" s="157">
        <v>0.03</v>
      </c>
      <c r="G4" s="157">
        <v>0.03</v>
      </c>
    </row>
    <row r="5" spans="2:7" ht="12.75">
      <c r="B5" s="149" t="s">
        <v>15</v>
      </c>
      <c r="C5" s="157">
        <v>0</v>
      </c>
      <c r="D5" s="157">
        <v>0.03</v>
      </c>
      <c r="E5" s="157">
        <v>0.03</v>
      </c>
      <c r="F5" s="157">
        <v>0.03</v>
      </c>
      <c r="G5" s="157">
        <v>0.03</v>
      </c>
    </row>
    <row r="6" spans="2:7" ht="12.75">
      <c r="B6" s="149" t="s">
        <v>16</v>
      </c>
      <c r="C6" s="157">
        <v>0</v>
      </c>
      <c r="D6" s="157">
        <v>0</v>
      </c>
      <c r="E6" s="157">
        <v>0</v>
      </c>
      <c r="F6" s="157">
        <v>0.02</v>
      </c>
      <c r="G6" s="157">
        <v>0.02</v>
      </c>
    </row>
    <row r="7" spans="2:7" ht="12.75">
      <c r="B7" s="149" t="s">
        <v>17</v>
      </c>
      <c r="C7" s="157">
        <v>0</v>
      </c>
      <c r="D7" s="157">
        <v>0</v>
      </c>
      <c r="E7" s="157">
        <v>0</v>
      </c>
      <c r="F7" s="157">
        <v>0</v>
      </c>
      <c r="G7" s="157">
        <v>0.025</v>
      </c>
    </row>
    <row r="8" spans="2:7" ht="12.75">
      <c r="B8" s="149" t="s">
        <v>19</v>
      </c>
      <c r="C8" s="157">
        <v>0</v>
      </c>
      <c r="D8" s="157">
        <v>0</v>
      </c>
      <c r="E8" s="157">
        <v>0</v>
      </c>
      <c r="F8" s="157">
        <v>0</v>
      </c>
      <c r="G8" s="156">
        <v>0.025</v>
      </c>
    </row>
    <row r="9" spans="2:7" ht="12.75">
      <c r="B9" s="149" t="s">
        <v>135</v>
      </c>
      <c r="C9" s="157">
        <v>0</v>
      </c>
      <c r="D9" s="157">
        <v>0</v>
      </c>
      <c r="E9" s="157">
        <v>0</v>
      </c>
      <c r="F9" s="156">
        <v>0.025</v>
      </c>
      <c r="G9" s="156">
        <v>0.025</v>
      </c>
    </row>
    <row r="10" spans="2:7" ht="12.75">
      <c r="B10" s="149" t="s">
        <v>21</v>
      </c>
      <c r="C10" s="157">
        <v>0.03</v>
      </c>
      <c r="D10" s="157">
        <v>0.03</v>
      </c>
      <c r="E10" s="157">
        <v>0.03</v>
      </c>
      <c r="F10" s="156">
        <v>0.04</v>
      </c>
      <c r="G10" s="156">
        <v>0.04</v>
      </c>
    </row>
    <row r="11" spans="2:8" ht="12.75">
      <c r="B11" s="149" t="s">
        <v>134</v>
      </c>
      <c r="C11" s="154">
        <v>533</v>
      </c>
      <c r="D11" s="154">
        <v>533</v>
      </c>
      <c r="E11" s="154">
        <v>533</v>
      </c>
      <c r="F11" s="154">
        <v>1865</v>
      </c>
      <c r="G11" s="154">
        <v>1865</v>
      </c>
      <c r="H11" s="178"/>
    </row>
    <row r="12" spans="2:7" ht="12.75">
      <c r="B12" s="149" t="s">
        <v>23</v>
      </c>
      <c r="C12" s="157">
        <v>0</v>
      </c>
      <c r="D12" s="157">
        <v>0.025</v>
      </c>
      <c r="E12" s="157">
        <v>0.025</v>
      </c>
      <c r="F12" s="156">
        <v>0.025</v>
      </c>
      <c r="G12" s="156">
        <v>0.025</v>
      </c>
    </row>
    <row r="13" spans="2:7" ht="12.75">
      <c r="B13" s="149" t="s">
        <v>24</v>
      </c>
      <c r="C13" s="157">
        <v>0.04</v>
      </c>
      <c r="D13" s="157">
        <v>0.04</v>
      </c>
      <c r="E13" s="157">
        <v>0.04</v>
      </c>
      <c r="F13" s="156">
        <v>0.06</v>
      </c>
      <c r="G13" s="156">
        <v>0.06</v>
      </c>
    </row>
    <row r="14" spans="3:7" ht="12.75">
      <c r="C14" s="157"/>
      <c r="D14" s="157"/>
      <c r="E14" s="157"/>
      <c r="F14" s="156"/>
      <c r="G14" s="156"/>
    </row>
    <row r="15" spans="2:7" ht="12.75">
      <c r="B15" s="152" t="s">
        <v>137</v>
      </c>
      <c r="C15" s="179">
        <v>59931</v>
      </c>
      <c r="D15" s="154"/>
      <c r="E15" s="154"/>
      <c r="F15" s="154"/>
      <c r="G15" s="154"/>
    </row>
    <row r="16" spans="3:7" ht="12.75">
      <c r="C16" s="154"/>
      <c r="D16" s="154"/>
      <c r="E16" s="154"/>
      <c r="F16" s="154"/>
      <c r="G16" s="154"/>
    </row>
    <row r="17" spans="2:7" ht="12.75">
      <c r="B17" s="155" t="s">
        <v>136</v>
      </c>
      <c r="C17" s="154"/>
      <c r="D17" s="154"/>
      <c r="E17" s="154"/>
      <c r="F17" s="154"/>
      <c r="G17" s="154"/>
    </row>
    <row r="18" spans="2:7" ht="12.75">
      <c r="B18" s="149" t="s">
        <v>14</v>
      </c>
      <c r="C18" s="154">
        <f aca="true" t="shared" si="0" ref="C18:G24">+$C$15*C4</f>
        <v>0</v>
      </c>
      <c r="D18" s="154">
        <f t="shared" si="0"/>
        <v>0</v>
      </c>
      <c r="E18" s="154">
        <f t="shared" si="0"/>
        <v>1797.9299999999998</v>
      </c>
      <c r="F18" s="154">
        <f t="shared" si="0"/>
        <v>1797.9299999999998</v>
      </c>
      <c r="G18" s="154">
        <f t="shared" si="0"/>
        <v>1797.9299999999998</v>
      </c>
    </row>
    <row r="19" spans="2:7" ht="12.75">
      <c r="B19" s="149" t="s">
        <v>15</v>
      </c>
      <c r="C19" s="154">
        <f t="shared" si="0"/>
        <v>0</v>
      </c>
      <c r="D19" s="154">
        <f t="shared" si="0"/>
        <v>1797.9299999999998</v>
      </c>
      <c r="E19" s="154">
        <f t="shared" si="0"/>
        <v>1797.9299999999998</v>
      </c>
      <c r="F19" s="154">
        <f t="shared" si="0"/>
        <v>1797.9299999999998</v>
      </c>
      <c r="G19" s="154">
        <f t="shared" si="0"/>
        <v>1797.9299999999998</v>
      </c>
    </row>
    <row r="20" spans="2:7" ht="12.75">
      <c r="B20" s="149" t="s">
        <v>16</v>
      </c>
      <c r="C20" s="154">
        <f t="shared" si="0"/>
        <v>0</v>
      </c>
      <c r="D20" s="154">
        <f t="shared" si="0"/>
        <v>0</v>
      </c>
      <c r="E20" s="154">
        <f t="shared" si="0"/>
        <v>0</v>
      </c>
      <c r="F20" s="154">
        <f t="shared" si="0"/>
        <v>1198.6200000000001</v>
      </c>
      <c r="G20" s="154">
        <f t="shared" si="0"/>
        <v>1198.6200000000001</v>
      </c>
    </row>
    <row r="21" spans="2:7" ht="12.75">
      <c r="B21" s="149" t="s">
        <v>17</v>
      </c>
      <c r="C21" s="154">
        <f t="shared" si="0"/>
        <v>0</v>
      </c>
      <c r="D21" s="154">
        <f t="shared" si="0"/>
        <v>0</v>
      </c>
      <c r="E21" s="154">
        <f t="shared" si="0"/>
        <v>0</v>
      </c>
      <c r="F21" s="154">
        <f t="shared" si="0"/>
        <v>0</v>
      </c>
      <c r="G21" s="154">
        <f t="shared" si="0"/>
        <v>1498.275</v>
      </c>
    </row>
    <row r="22" spans="2:7" ht="12.75">
      <c r="B22" s="149" t="s">
        <v>19</v>
      </c>
      <c r="C22" s="154">
        <f t="shared" si="0"/>
        <v>0</v>
      </c>
      <c r="D22" s="154">
        <f t="shared" si="0"/>
        <v>0</v>
      </c>
      <c r="E22" s="154">
        <f t="shared" si="0"/>
        <v>0</v>
      </c>
      <c r="F22" s="154">
        <f t="shared" si="0"/>
        <v>0</v>
      </c>
      <c r="G22" s="154">
        <f t="shared" si="0"/>
        <v>1498.275</v>
      </c>
    </row>
    <row r="23" spans="2:7" ht="12.75">
      <c r="B23" s="149" t="s">
        <v>135</v>
      </c>
      <c r="C23" s="154">
        <f t="shared" si="0"/>
        <v>0</v>
      </c>
      <c r="D23" s="154">
        <f t="shared" si="0"/>
        <v>0</v>
      </c>
      <c r="E23" s="154">
        <f t="shared" si="0"/>
        <v>0</v>
      </c>
      <c r="F23" s="154">
        <f t="shared" si="0"/>
        <v>1498.275</v>
      </c>
      <c r="G23" s="154">
        <f t="shared" si="0"/>
        <v>1498.275</v>
      </c>
    </row>
    <row r="24" spans="2:7" ht="12.75">
      <c r="B24" s="149" t="s">
        <v>21</v>
      </c>
      <c r="C24" s="154">
        <f t="shared" si="0"/>
        <v>1797.9299999999998</v>
      </c>
      <c r="D24" s="154">
        <f t="shared" si="0"/>
        <v>1797.9299999999998</v>
      </c>
      <c r="E24" s="154">
        <f t="shared" si="0"/>
        <v>1797.9299999999998</v>
      </c>
      <c r="F24" s="154">
        <f t="shared" si="0"/>
        <v>2397.2400000000002</v>
      </c>
      <c r="G24" s="154">
        <f t="shared" si="0"/>
        <v>2397.2400000000002</v>
      </c>
    </row>
    <row r="25" spans="2:7" ht="12.75">
      <c r="B25" s="149" t="s">
        <v>134</v>
      </c>
      <c r="C25" s="154">
        <f>+C11</f>
        <v>533</v>
      </c>
      <c r="D25" s="154">
        <f>+D11</f>
        <v>533</v>
      </c>
      <c r="E25" s="154">
        <f>+E11</f>
        <v>533</v>
      </c>
      <c r="F25" s="154">
        <f>+F11</f>
        <v>1865</v>
      </c>
      <c r="G25" s="154">
        <f>+G11</f>
        <v>1865</v>
      </c>
    </row>
    <row r="26" spans="2:7" ht="12.75">
      <c r="B26" s="149" t="s">
        <v>23</v>
      </c>
      <c r="C26" s="154">
        <f aca="true" t="shared" si="1" ref="C26:G27">+$C$15*C12</f>
        <v>0</v>
      </c>
      <c r="D26" s="154">
        <f t="shared" si="1"/>
        <v>1498.275</v>
      </c>
      <c r="E26" s="154">
        <f t="shared" si="1"/>
        <v>1498.275</v>
      </c>
      <c r="F26" s="154">
        <f t="shared" si="1"/>
        <v>1498.275</v>
      </c>
      <c r="G26" s="154">
        <f t="shared" si="1"/>
        <v>1498.275</v>
      </c>
    </row>
    <row r="27" spans="2:7" ht="12.75">
      <c r="B27" s="149" t="s">
        <v>24</v>
      </c>
      <c r="C27" s="154">
        <f t="shared" si="1"/>
        <v>2397.2400000000002</v>
      </c>
      <c r="D27" s="154">
        <f t="shared" si="1"/>
        <v>2397.2400000000002</v>
      </c>
      <c r="E27" s="154">
        <f t="shared" si="1"/>
        <v>2397.2400000000002</v>
      </c>
      <c r="F27" s="154">
        <f t="shared" si="1"/>
        <v>3595.8599999999997</v>
      </c>
      <c r="G27" s="154">
        <f t="shared" si="1"/>
        <v>3595.8599999999997</v>
      </c>
    </row>
    <row r="28" spans="2:7" ht="12.75">
      <c r="B28" s="149" t="s">
        <v>133</v>
      </c>
      <c r="C28" s="153">
        <f>SUM(C18:C27)</f>
        <v>4728.17</v>
      </c>
      <c r="D28" s="153">
        <f>SUM(D18:D27)</f>
        <v>8024.375</v>
      </c>
      <c r="E28" s="153">
        <f>SUM(E18:E27)</f>
        <v>9822.304999999998</v>
      </c>
      <c r="F28" s="153">
        <f>SUM(F18:F27)</f>
        <v>15649.129999999997</v>
      </c>
      <c r="G28" s="153">
        <f>SUM(G18:G27)</f>
        <v>18645.679999999997</v>
      </c>
    </row>
    <row r="29" spans="2:7" ht="12.75">
      <c r="B29" s="152" t="s">
        <v>132</v>
      </c>
      <c r="C29" s="151">
        <f>+C28/10</f>
        <v>472.817</v>
      </c>
      <c r="D29" s="151">
        <f>+D28/10</f>
        <v>802.4375</v>
      </c>
      <c r="E29" s="151">
        <f>+E28/10</f>
        <v>982.2304999999999</v>
      </c>
      <c r="F29" s="151">
        <f>+F28/10</f>
        <v>1564.9129999999998</v>
      </c>
      <c r="G29" s="151">
        <f>+G28/10</f>
        <v>1864.5679999999998</v>
      </c>
    </row>
    <row r="30" spans="3:5" ht="12.75">
      <c r="C30" s="150"/>
      <c r="D30" s="150"/>
      <c r="E30" s="150"/>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G17" sqref="G17"/>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workbookViewId="0" topLeftCell="A1">
      <selection activeCell="G12" sqref="G12"/>
    </sheetView>
  </sheetViews>
  <sheetFormatPr defaultColWidth="9.140625" defaultRowHeight="12.75"/>
  <cols>
    <col min="1" max="1" width="18.140625" style="0" customWidth="1"/>
    <col min="2" max="3" width="6.8515625" style="0" customWidth="1"/>
    <col min="4" max="19" width="6.57421875" style="0" customWidth="1"/>
    <col min="20" max="20" width="9.28125" style="0" customWidth="1"/>
    <col min="21" max="21" width="2.7109375" style="0" customWidth="1"/>
  </cols>
  <sheetData>
    <row r="1" spans="1:19" ht="14.25">
      <c r="A1" s="191" t="s">
        <v>124</v>
      </c>
      <c r="B1" s="192"/>
      <c r="C1" s="192"/>
      <c r="D1" s="192"/>
      <c r="E1" s="192"/>
      <c r="F1" s="192"/>
      <c r="G1" s="192"/>
      <c r="H1" s="192"/>
      <c r="I1" s="192"/>
      <c r="J1" s="192"/>
      <c r="K1" s="192"/>
      <c r="L1" s="192"/>
      <c r="M1" s="192"/>
      <c r="N1" s="192"/>
      <c r="O1" s="199"/>
      <c r="P1" s="199"/>
      <c r="Q1" s="199"/>
      <c r="R1" s="199"/>
      <c r="S1" s="199"/>
    </row>
    <row r="2" spans="1:19" ht="12.75">
      <c r="A2" s="191" t="s">
        <v>94</v>
      </c>
      <c r="B2" s="192"/>
      <c r="C2" s="192"/>
      <c r="D2" s="192"/>
      <c r="E2" s="192"/>
      <c r="F2" s="192"/>
      <c r="G2" s="192"/>
      <c r="H2" s="192"/>
      <c r="I2" s="192"/>
      <c r="J2" s="192"/>
      <c r="K2" s="192"/>
      <c r="L2" s="192"/>
      <c r="M2" s="192"/>
      <c r="N2" s="192"/>
      <c r="O2" s="199"/>
      <c r="P2" s="199"/>
      <c r="Q2" s="199"/>
      <c r="R2" s="199"/>
      <c r="S2" s="199"/>
    </row>
    <row r="3" spans="2:20" ht="17.25" customHeight="1">
      <c r="B3" s="103"/>
      <c r="C3" s="103"/>
      <c r="D3" s="103"/>
      <c r="E3" s="103"/>
      <c r="F3" s="103"/>
      <c r="G3" s="103"/>
      <c r="H3" s="103"/>
      <c r="I3" s="103"/>
      <c r="J3" s="103"/>
      <c r="K3" s="102"/>
      <c r="L3" s="102"/>
      <c r="M3" s="102"/>
      <c r="N3" s="102"/>
      <c r="O3" s="189"/>
      <c r="P3" s="200"/>
      <c r="Q3" s="200"/>
      <c r="R3" s="189" t="s">
        <v>129</v>
      </c>
      <c r="S3" s="200"/>
      <c r="T3" s="200"/>
    </row>
    <row r="4" spans="1:20" ht="41.25" customHeight="1">
      <c r="A4" s="11" t="s">
        <v>18</v>
      </c>
      <c r="B4" s="26" t="s">
        <v>8</v>
      </c>
      <c r="C4" s="26" t="s">
        <v>7</v>
      </c>
      <c r="D4" s="26" t="s">
        <v>6</v>
      </c>
      <c r="E4" s="26" t="s">
        <v>5</v>
      </c>
      <c r="F4" s="26" t="s">
        <v>4</v>
      </c>
      <c r="G4" s="26" t="s">
        <v>3</v>
      </c>
      <c r="H4" s="26" t="s">
        <v>2</v>
      </c>
      <c r="I4" s="26" t="s">
        <v>1</v>
      </c>
      <c r="J4" s="26" t="s">
        <v>28</v>
      </c>
      <c r="K4" s="26" t="s">
        <v>32</v>
      </c>
      <c r="L4" s="40" t="s">
        <v>86</v>
      </c>
      <c r="M4" s="41" t="s">
        <v>87</v>
      </c>
      <c r="N4" s="41" t="s">
        <v>103</v>
      </c>
      <c r="O4" s="219" t="s">
        <v>102</v>
      </c>
      <c r="P4" s="217"/>
      <c r="Q4" s="217"/>
      <c r="R4" s="217"/>
      <c r="S4" s="217"/>
      <c r="T4" s="218"/>
    </row>
    <row r="5" spans="1:22" ht="37.5" customHeight="1">
      <c r="A5" s="25" t="s">
        <v>100</v>
      </c>
      <c r="B5" s="38">
        <v>19.4</v>
      </c>
      <c r="C5" s="38">
        <v>20.36</v>
      </c>
      <c r="D5" s="38">
        <v>21.33</v>
      </c>
      <c r="E5" s="38">
        <v>22.29</v>
      </c>
      <c r="F5" s="38">
        <v>23.3</v>
      </c>
      <c r="G5" s="38">
        <v>24.45</v>
      </c>
      <c r="H5" s="38">
        <v>25.68</v>
      </c>
      <c r="I5" s="38">
        <f>+H5</f>
        <v>25.68</v>
      </c>
      <c r="J5" s="38">
        <f>+I5</f>
        <v>25.68</v>
      </c>
      <c r="K5" s="99">
        <f>+J5*1.03</f>
        <v>26.450400000000002</v>
      </c>
      <c r="L5" s="99">
        <f>+I5*1.06</f>
        <v>27.2208</v>
      </c>
      <c r="M5" s="38">
        <f aca="true" t="shared" si="0" ref="M5:N13">+L5</f>
        <v>27.2208</v>
      </c>
      <c r="N5" s="38">
        <f t="shared" si="0"/>
        <v>27.2208</v>
      </c>
      <c r="O5" s="210" t="s">
        <v>40</v>
      </c>
      <c r="P5" s="221"/>
      <c r="Q5" s="221"/>
      <c r="R5" s="221"/>
      <c r="S5" s="221"/>
      <c r="T5" s="222"/>
      <c r="U5" s="17"/>
      <c r="V5" s="17"/>
    </row>
    <row r="6" spans="1:22" ht="23.25" customHeight="1">
      <c r="A6" s="42" t="s">
        <v>107</v>
      </c>
      <c r="B6" s="38">
        <v>18.68</v>
      </c>
      <c r="C6" s="38">
        <v>19.61</v>
      </c>
      <c r="D6" s="38">
        <v>20.6</v>
      </c>
      <c r="E6" s="38">
        <v>21.64</v>
      </c>
      <c r="F6" s="38">
        <v>22.74</v>
      </c>
      <c r="G6" s="38">
        <f>+F6</f>
        <v>22.74</v>
      </c>
      <c r="H6" s="38">
        <f>+G6</f>
        <v>22.74</v>
      </c>
      <c r="I6" s="38">
        <f>+H6</f>
        <v>22.74</v>
      </c>
      <c r="J6" s="99">
        <f>+I6*1.03</f>
        <v>23.4222</v>
      </c>
      <c r="K6" s="38">
        <f>+J6</f>
        <v>23.4222</v>
      </c>
      <c r="L6" s="99">
        <f>+I6*1.09</f>
        <v>24.7866</v>
      </c>
      <c r="M6" s="38">
        <f t="shared" si="0"/>
        <v>24.7866</v>
      </c>
      <c r="N6" s="38">
        <f t="shared" si="0"/>
        <v>24.7866</v>
      </c>
      <c r="O6" s="210" t="s">
        <v>89</v>
      </c>
      <c r="P6" s="211"/>
      <c r="Q6" s="211"/>
      <c r="R6" s="211"/>
      <c r="S6" s="211"/>
      <c r="T6" s="212"/>
      <c r="U6" s="17"/>
      <c r="V6" s="17"/>
    </row>
    <row r="7" spans="1:22" s="43" customFormat="1" ht="23.25" customHeight="1">
      <c r="A7" s="25" t="s">
        <v>109</v>
      </c>
      <c r="B7" s="112">
        <v>20.46</v>
      </c>
      <c r="C7" s="112">
        <v>21.5</v>
      </c>
      <c r="D7" s="112">
        <v>22.59</v>
      </c>
      <c r="E7" s="112">
        <v>23.73</v>
      </c>
      <c r="F7" s="112">
        <v>24.93</v>
      </c>
      <c r="G7" s="112">
        <v>26.2</v>
      </c>
      <c r="H7" s="112">
        <f>+G7</f>
        <v>26.2</v>
      </c>
      <c r="I7" s="112">
        <f>+G7</f>
        <v>26.2</v>
      </c>
      <c r="J7" s="112">
        <f>+G7</f>
        <v>26.2</v>
      </c>
      <c r="K7" s="129">
        <f>+J7*1.02</f>
        <v>26.724</v>
      </c>
      <c r="L7" s="129">
        <f>+K7*1.04</f>
        <v>27.79296</v>
      </c>
      <c r="M7" s="112">
        <f>+L7</f>
        <v>27.79296</v>
      </c>
      <c r="N7" s="112">
        <f>+M7</f>
        <v>27.79296</v>
      </c>
      <c r="O7" s="210" t="s">
        <v>91</v>
      </c>
      <c r="P7" s="223"/>
      <c r="Q7" s="223"/>
      <c r="R7" s="223"/>
      <c r="S7" s="223"/>
      <c r="T7" s="224"/>
      <c r="U7" s="17" t="s">
        <v>79</v>
      </c>
      <c r="V7" s="120" t="s">
        <v>92</v>
      </c>
    </row>
    <row r="8" spans="1:22" ht="34.5" customHeight="1">
      <c r="A8" s="125" t="s">
        <v>108</v>
      </c>
      <c r="B8" s="38">
        <v>24.6</v>
      </c>
      <c r="C8" s="38">
        <v>25.71</v>
      </c>
      <c r="D8" s="38">
        <v>26.88</v>
      </c>
      <c r="E8" s="38">
        <v>28.1</v>
      </c>
      <c r="F8" s="38">
        <v>29.39</v>
      </c>
      <c r="G8" s="38">
        <f>+F8</f>
        <v>29.39</v>
      </c>
      <c r="H8" s="38">
        <f>+G8</f>
        <v>29.39</v>
      </c>
      <c r="I8" s="38">
        <f aca="true" t="shared" si="1" ref="I8:J10">+H8</f>
        <v>29.39</v>
      </c>
      <c r="J8" s="38">
        <f t="shared" si="1"/>
        <v>29.39</v>
      </c>
      <c r="K8" s="38">
        <v>29.39</v>
      </c>
      <c r="L8" s="99">
        <v>32.11</v>
      </c>
      <c r="M8" s="38">
        <f t="shared" si="0"/>
        <v>32.11</v>
      </c>
      <c r="N8" s="38">
        <f t="shared" si="0"/>
        <v>32.11</v>
      </c>
      <c r="O8" s="210" t="s">
        <v>110</v>
      </c>
      <c r="P8" s="211"/>
      <c r="Q8" s="211"/>
      <c r="R8" s="211"/>
      <c r="S8" s="211"/>
      <c r="T8" s="212"/>
      <c r="U8" s="122"/>
      <c r="V8" s="17"/>
    </row>
    <row r="9" spans="1:22" ht="24.75" customHeight="1">
      <c r="A9" s="25" t="s">
        <v>113</v>
      </c>
      <c r="B9" s="38">
        <v>16.32</v>
      </c>
      <c r="C9" s="38">
        <v>17.14</v>
      </c>
      <c r="D9" s="38">
        <v>18.02</v>
      </c>
      <c r="E9" s="38">
        <v>18.91</v>
      </c>
      <c r="F9" s="38">
        <v>19.88</v>
      </c>
      <c r="G9" s="38">
        <v>20.89</v>
      </c>
      <c r="H9" s="38">
        <f>+G9</f>
        <v>20.89</v>
      </c>
      <c r="I9" s="38">
        <f t="shared" si="1"/>
        <v>20.89</v>
      </c>
      <c r="J9" s="38">
        <f t="shared" si="1"/>
        <v>20.89</v>
      </c>
      <c r="K9" s="38">
        <f>+J9</f>
        <v>20.89</v>
      </c>
      <c r="L9" s="99">
        <f>+K9*1.075</f>
        <v>22.45675</v>
      </c>
      <c r="M9" s="38">
        <f t="shared" si="0"/>
        <v>22.45675</v>
      </c>
      <c r="N9" s="38">
        <f t="shared" si="0"/>
        <v>22.45675</v>
      </c>
      <c r="O9" s="210" t="s">
        <v>114</v>
      </c>
      <c r="P9" s="211"/>
      <c r="Q9" s="211"/>
      <c r="R9" s="211"/>
      <c r="S9" s="211"/>
      <c r="T9" s="212"/>
      <c r="U9" s="17"/>
      <c r="V9" s="123"/>
    </row>
    <row r="10" spans="1:23" s="43" customFormat="1" ht="30" customHeight="1">
      <c r="A10" s="25" t="s">
        <v>117</v>
      </c>
      <c r="B10" s="112">
        <v>15.61</v>
      </c>
      <c r="C10" s="112">
        <v>16.39</v>
      </c>
      <c r="D10" s="112">
        <v>17.21</v>
      </c>
      <c r="E10" s="112">
        <v>18.07</v>
      </c>
      <c r="F10" s="112">
        <v>18.97</v>
      </c>
      <c r="G10" s="112">
        <v>19.92</v>
      </c>
      <c r="H10" s="112">
        <f>+G10</f>
        <v>19.92</v>
      </c>
      <c r="I10" s="112">
        <f t="shared" si="1"/>
        <v>19.92</v>
      </c>
      <c r="J10" s="112">
        <f t="shared" si="1"/>
        <v>19.92</v>
      </c>
      <c r="K10" s="129">
        <f>+J10*1.025</f>
        <v>20.418</v>
      </c>
      <c r="L10" s="129">
        <f>+K10*1.025*1.025</f>
        <v>21.451661249999997</v>
      </c>
      <c r="M10" s="112">
        <f aca="true" t="shared" si="2" ref="M10:N12">+L10</f>
        <v>21.451661249999997</v>
      </c>
      <c r="N10" s="112">
        <f t="shared" si="2"/>
        <v>21.451661249999997</v>
      </c>
      <c r="O10" s="210" t="s">
        <v>41</v>
      </c>
      <c r="P10" s="223"/>
      <c r="Q10" s="223"/>
      <c r="R10" s="223"/>
      <c r="S10" s="223"/>
      <c r="T10" s="224"/>
      <c r="U10" s="17"/>
      <c r="V10" s="220" t="s">
        <v>118</v>
      </c>
      <c r="W10" s="220"/>
    </row>
    <row r="11" spans="1:23" ht="30.75" customHeight="1">
      <c r="A11" s="25" t="s">
        <v>119</v>
      </c>
      <c r="B11" s="38">
        <v>20.89</v>
      </c>
      <c r="C11" s="38">
        <v>21.9</v>
      </c>
      <c r="D11" s="38">
        <v>23.07</v>
      </c>
      <c r="E11" s="38">
        <v>24.23</v>
      </c>
      <c r="F11" s="38">
        <v>25.47</v>
      </c>
      <c r="G11" s="99">
        <f>+F11*1.03</f>
        <v>26.234099999999998</v>
      </c>
      <c r="H11" s="38">
        <f aca="true" t="shared" si="3" ref="H11:K12">+G11</f>
        <v>26.234099999999998</v>
      </c>
      <c r="I11" s="38">
        <f t="shared" si="3"/>
        <v>26.234099999999998</v>
      </c>
      <c r="J11" s="38">
        <f t="shared" si="3"/>
        <v>26.234099999999998</v>
      </c>
      <c r="K11" s="38">
        <f t="shared" si="3"/>
        <v>26.234099999999998</v>
      </c>
      <c r="L11" s="99">
        <f>+F11*1.06</f>
        <v>26.9982</v>
      </c>
      <c r="M11" s="110">
        <f t="shared" si="2"/>
        <v>26.9982</v>
      </c>
      <c r="N11" s="110">
        <f t="shared" si="2"/>
        <v>26.9982</v>
      </c>
      <c r="O11" s="210" t="s">
        <v>42</v>
      </c>
      <c r="P11" s="211"/>
      <c r="Q11" s="211"/>
      <c r="R11" s="211"/>
      <c r="S11" s="211"/>
      <c r="T11" s="212"/>
      <c r="U11" s="17"/>
      <c r="V11" s="220" t="s">
        <v>118</v>
      </c>
      <c r="W11" s="220"/>
    </row>
    <row r="12" spans="1:22" ht="39" customHeight="1">
      <c r="A12" s="25" t="s">
        <v>123</v>
      </c>
      <c r="B12" s="38">
        <f>31595/1950</f>
        <v>16.202564102564104</v>
      </c>
      <c r="C12" s="38">
        <f>32968/1950</f>
        <v>16.906666666666666</v>
      </c>
      <c r="D12" s="38">
        <f>34484/1950</f>
        <v>17.684102564102563</v>
      </c>
      <c r="E12" s="38">
        <f>36018/1950</f>
        <v>18.470769230769232</v>
      </c>
      <c r="F12" s="38">
        <f>37620/1950</f>
        <v>19.29230769230769</v>
      </c>
      <c r="G12" s="99">
        <f>+F12+(533/1950)</f>
        <v>19.565641025641025</v>
      </c>
      <c r="H12" s="38">
        <f t="shared" si="3"/>
        <v>19.565641025641025</v>
      </c>
      <c r="I12" s="38">
        <f t="shared" si="3"/>
        <v>19.565641025641025</v>
      </c>
      <c r="J12" s="38">
        <f t="shared" si="3"/>
        <v>19.565641025641025</v>
      </c>
      <c r="K12" s="38">
        <f t="shared" si="3"/>
        <v>19.565641025641025</v>
      </c>
      <c r="L12" s="99">
        <f>+$F12+(2265/1950)</f>
        <v>20.453846153846154</v>
      </c>
      <c r="M12" s="110">
        <f t="shared" si="2"/>
        <v>20.453846153846154</v>
      </c>
      <c r="N12" s="110">
        <f t="shared" si="2"/>
        <v>20.453846153846154</v>
      </c>
      <c r="O12" s="213" t="s">
        <v>96</v>
      </c>
      <c r="P12" s="214"/>
      <c r="Q12" s="214"/>
      <c r="R12" s="214"/>
      <c r="S12" s="214"/>
      <c r="T12" s="215"/>
      <c r="U12" s="17"/>
      <c r="V12" s="16" t="s">
        <v>85</v>
      </c>
    </row>
    <row r="13" spans="1:23" ht="37.5" customHeight="1">
      <c r="A13" s="25" t="s">
        <v>127</v>
      </c>
      <c r="B13" s="38">
        <v>21.69</v>
      </c>
      <c r="C13" s="38">
        <v>22.78</v>
      </c>
      <c r="D13" s="38">
        <v>23.93</v>
      </c>
      <c r="E13" s="38">
        <v>25.13</v>
      </c>
      <c r="F13" s="38">
        <v>26.38</v>
      </c>
      <c r="G13" s="38">
        <f>+F13</f>
        <v>26.38</v>
      </c>
      <c r="H13" s="38">
        <f>+G13</f>
        <v>26.38</v>
      </c>
      <c r="I13" s="99">
        <f>+H13*1.025</f>
        <v>27.039499999999997</v>
      </c>
      <c r="J13" s="38">
        <f>+I13</f>
        <v>27.039499999999997</v>
      </c>
      <c r="K13" s="38">
        <f>+J13</f>
        <v>27.039499999999997</v>
      </c>
      <c r="L13" s="99">
        <f>+$G$13*1.075</f>
        <v>28.3585</v>
      </c>
      <c r="M13" s="38">
        <f t="shared" si="0"/>
        <v>28.3585</v>
      </c>
      <c r="N13" s="99">
        <f>+$G$13*1.1</f>
        <v>29.018</v>
      </c>
      <c r="O13" s="210" t="s">
        <v>43</v>
      </c>
      <c r="P13" s="211"/>
      <c r="Q13" s="211"/>
      <c r="R13" s="211"/>
      <c r="S13" s="211"/>
      <c r="T13" s="212"/>
      <c r="U13" s="17"/>
      <c r="V13" s="220" t="s">
        <v>130</v>
      </c>
      <c r="W13" s="220"/>
    </row>
    <row r="14" spans="1:21" ht="33.75" customHeight="1">
      <c r="A14" s="25" t="s">
        <v>121</v>
      </c>
      <c r="B14" s="38">
        <v>19.37</v>
      </c>
      <c r="C14" s="38">
        <v>20.34</v>
      </c>
      <c r="D14" s="38">
        <v>21.36</v>
      </c>
      <c r="E14" s="38">
        <v>22.43</v>
      </c>
      <c r="F14" s="38">
        <v>23.55</v>
      </c>
      <c r="G14" s="99">
        <f>24.73*1.04</f>
        <v>25.7192</v>
      </c>
      <c r="H14" s="38">
        <f>+G14</f>
        <v>25.7192</v>
      </c>
      <c r="I14" s="38">
        <f>+H14</f>
        <v>25.7192</v>
      </c>
      <c r="J14" s="38">
        <f>+I14</f>
        <v>25.7192</v>
      </c>
      <c r="K14" s="99">
        <f>24.73*1.06</f>
        <v>26.213800000000003</v>
      </c>
      <c r="L14" s="99">
        <f>24.73*1.1</f>
        <v>27.203000000000003</v>
      </c>
      <c r="M14" s="110">
        <f>+L14</f>
        <v>27.203000000000003</v>
      </c>
      <c r="N14" s="110">
        <f>+M14</f>
        <v>27.203000000000003</v>
      </c>
      <c r="O14" s="210" t="s">
        <v>44</v>
      </c>
      <c r="P14" s="211"/>
      <c r="Q14" s="211"/>
      <c r="R14" s="211"/>
      <c r="S14" s="211"/>
      <c r="T14" s="212"/>
      <c r="U14" s="17"/>
    </row>
    <row r="15" spans="1:20" ht="13.5">
      <c r="A15" s="44" t="s">
        <v>0</v>
      </c>
      <c r="B15" s="45">
        <f>SUM(B5:B14)</f>
        <v>193.22256410256412</v>
      </c>
      <c r="C15" s="45">
        <f aca="true" t="shared" si="4" ref="C15:N15">SUM(C5:C14)</f>
        <v>202.63666666666668</v>
      </c>
      <c r="D15" s="45">
        <f t="shared" si="4"/>
        <v>212.67410256410255</v>
      </c>
      <c r="E15" s="45">
        <f t="shared" si="4"/>
        <v>223.0007692307692</v>
      </c>
      <c r="F15" s="45">
        <f t="shared" si="4"/>
        <v>233.9023076923077</v>
      </c>
      <c r="G15" s="45">
        <f t="shared" si="4"/>
        <v>241.488941025641</v>
      </c>
      <c r="H15" s="45">
        <f t="shared" si="4"/>
        <v>242.71894102564102</v>
      </c>
      <c r="I15" s="45">
        <f t="shared" si="4"/>
        <v>243.37844102564102</v>
      </c>
      <c r="J15" s="45">
        <f t="shared" si="4"/>
        <v>244.06064102564105</v>
      </c>
      <c r="K15" s="46">
        <f t="shared" si="4"/>
        <v>246.34764102564102</v>
      </c>
      <c r="L15" s="46">
        <f>SUM(L5:L14)</f>
        <v>258.83231740384616</v>
      </c>
      <c r="M15" s="46">
        <f>SUM(M5:M14)</f>
        <v>258.83231740384616</v>
      </c>
      <c r="N15" s="46">
        <f t="shared" si="4"/>
        <v>259.4918174038462</v>
      </c>
      <c r="O15" s="216"/>
      <c r="P15" s="217"/>
      <c r="Q15" s="217"/>
      <c r="R15" s="217"/>
      <c r="S15" s="217"/>
      <c r="T15" s="218"/>
    </row>
    <row r="16" spans="1:20" ht="13.5">
      <c r="A16" s="11" t="s">
        <v>45</v>
      </c>
      <c r="B16" s="47">
        <f>B15/10</f>
        <v>19.32225641025641</v>
      </c>
      <c r="C16" s="47">
        <f aca="true" t="shared" si="5" ref="C16:M16">C15/10</f>
        <v>20.26366666666667</v>
      </c>
      <c r="D16" s="47">
        <f t="shared" si="5"/>
        <v>21.267410256410255</v>
      </c>
      <c r="E16" s="47">
        <f t="shared" si="5"/>
        <v>22.300076923076922</v>
      </c>
      <c r="F16" s="47">
        <f t="shared" si="5"/>
        <v>23.39023076923077</v>
      </c>
      <c r="G16" s="47">
        <f t="shared" si="5"/>
        <v>24.1488941025641</v>
      </c>
      <c r="H16" s="47">
        <f t="shared" si="5"/>
        <v>24.2718941025641</v>
      </c>
      <c r="I16" s="47">
        <f t="shared" si="5"/>
        <v>24.3378441025641</v>
      </c>
      <c r="J16" s="47">
        <f t="shared" si="5"/>
        <v>24.406064102564105</v>
      </c>
      <c r="K16" s="48">
        <f t="shared" si="5"/>
        <v>24.6347641025641</v>
      </c>
      <c r="L16" s="48">
        <f t="shared" si="5"/>
        <v>25.883231740384616</v>
      </c>
      <c r="M16" s="48">
        <f t="shared" si="5"/>
        <v>25.883231740384616</v>
      </c>
      <c r="N16" s="48">
        <f>N15/10</f>
        <v>25.94918174038462</v>
      </c>
      <c r="O16" s="216"/>
      <c r="P16" s="217"/>
      <c r="Q16" s="217"/>
      <c r="R16" s="217"/>
      <c r="S16" s="217"/>
      <c r="T16" s="218"/>
    </row>
    <row r="17" spans="1:20" ht="13.5">
      <c r="A17" s="49" t="s">
        <v>46</v>
      </c>
      <c r="B17" s="32">
        <f>B16*2080</f>
        <v>40190.293333333335</v>
      </c>
      <c r="C17" s="32">
        <f aca="true" t="shared" si="6" ref="C17:N17">C16*2080</f>
        <v>42148.42666666667</v>
      </c>
      <c r="D17" s="32">
        <f t="shared" si="6"/>
        <v>44236.21333333333</v>
      </c>
      <c r="E17" s="32">
        <f t="shared" si="6"/>
        <v>46384.159999999996</v>
      </c>
      <c r="F17" s="32">
        <f t="shared" si="6"/>
        <v>48651.68</v>
      </c>
      <c r="G17" s="32">
        <f t="shared" si="6"/>
        <v>50229.69973333333</v>
      </c>
      <c r="H17" s="32">
        <f t="shared" si="6"/>
        <v>50485.53973333333</v>
      </c>
      <c r="I17" s="32">
        <f t="shared" si="6"/>
        <v>50622.71573333333</v>
      </c>
      <c r="J17" s="32">
        <f t="shared" si="6"/>
        <v>50764.61333333334</v>
      </c>
      <c r="K17" s="32">
        <f t="shared" si="6"/>
        <v>51240.30933333333</v>
      </c>
      <c r="L17" s="32">
        <f t="shared" si="6"/>
        <v>53837.12202</v>
      </c>
      <c r="M17" s="50">
        <f t="shared" si="6"/>
        <v>53837.12202</v>
      </c>
      <c r="N17" s="50">
        <f t="shared" si="6"/>
        <v>53974.29802000001</v>
      </c>
      <c r="O17" s="216"/>
      <c r="P17" s="217"/>
      <c r="Q17" s="217"/>
      <c r="R17" s="217"/>
      <c r="S17" s="217"/>
      <c r="T17" s="218"/>
    </row>
    <row r="18" spans="1:19" ht="12.75">
      <c r="A18" s="21"/>
      <c r="B18" s="21"/>
      <c r="C18" s="21"/>
      <c r="D18" s="21"/>
      <c r="E18" s="21"/>
      <c r="F18" s="21"/>
      <c r="G18" s="21"/>
      <c r="H18" s="21"/>
      <c r="I18" s="21"/>
      <c r="J18" s="21"/>
      <c r="K18" s="21"/>
      <c r="L18" s="21"/>
      <c r="M18" s="21"/>
      <c r="N18" s="21"/>
      <c r="O18" s="21"/>
      <c r="P18" s="21"/>
      <c r="Q18" s="21"/>
      <c r="R18" s="21"/>
      <c r="S18" s="21"/>
    </row>
    <row r="19" spans="1:6" ht="12.75">
      <c r="A19" s="198" t="s">
        <v>30</v>
      </c>
      <c r="B19" s="199"/>
      <c r="C19" s="199"/>
      <c r="D19" s="199"/>
      <c r="E19" s="199"/>
      <c r="F19" s="199"/>
    </row>
    <row r="20" spans="1:19" ht="12.75">
      <c r="A20" s="21"/>
      <c r="B20" s="21"/>
      <c r="C20" s="21"/>
      <c r="D20" s="21"/>
      <c r="E20" s="21"/>
      <c r="F20" s="21"/>
      <c r="G20" s="21"/>
      <c r="H20" s="21"/>
      <c r="I20" s="198"/>
      <c r="J20" s="199"/>
      <c r="K20" s="199"/>
      <c r="L20" s="199"/>
      <c r="M20" s="199"/>
      <c r="N20" s="199"/>
      <c r="O20" s="199"/>
      <c r="P20" s="21"/>
      <c r="Q20" s="21"/>
      <c r="R20" s="118"/>
      <c r="S20" s="21"/>
    </row>
    <row r="21" spans="1:18" ht="12.75" customHeight="1">
      <c r="A21" s="209" t="s">
        <v>77</v>
      </c>
      <c r="B21" s="187"/>
      <c r="C21" s="187"/>
      <c r="D21" s="187"/>
      <c r="E21" s="187"/>
      <c r="F21" s="187"/>
      <c r="G21" s="187"/>
      <c r="H21" s="187"/>
      <c r="I21" s="187"/>
      <c r="J21" s="187"/>
      <c r="K21" s="187"/>
      <c r="L21" s="187"/>
      <c r="M21" s="187"/>
      <c r="N21" s="187"/>
      <c r="O21" s="187"/>
      <c r="P21" s="187"/>
      <c r="Q21" s="187"/>
      <c r="R21" s="118"/>
    </row>
    <row r="23" spans="1:15" ht="14.25">
      <c r="A23" s="132"/>
      <c r="B23" s="59"/>
      <c r="C23" s="59"/>
      <c r="D23" s="52"/>
      <c r="E23" s="52"/>
      <c r="F23" s="52"/>
      <c r="G23" s="52"/>
      <c r="H23" s="52"/>
      <c r="I23" s="52"/>
      <c r="J23" s="52"/>
      <c r="K23" s="133"/>
      <c r="L23" s="134"/>
      <c r="M23" s="134"/>
      <c r="N23" s="135"/>
      <c r="O23" s="52"/>
    </row>
    <row r="24" spans="1:15" ht="13.5">
      <c r="A24" s="136"/>
      <c r="B24" s="137"/>
      <c r="C24" s="137"/>
      <c r="D24" s="137"/>
      <c r="E24" s="137"/>
      <c r="F24" s="137"/>
      <c r="G24" s="137"/>
      <c r="H24" s="137"/>
      <c r="I24" s="137"/>
      <c r="J24" s="137"/>
      <c r="K24" s="137"/>
      <c r="L24" s="137"/>
      <c r="M24" s="137"/>
      <c r="N24" s="137"/>
      <c r="O24" s="52"/>
    </row>
    <row r="25" spans="1:15" ht="13.5">
      <c r="A25" s="136"/>
      <c r="B25" s="137"/>
      <c r="C25" s="137"/>
      <c r="D25" s="137"/>
      <c r="E25" s="137"/>
      <c r="F25" s="137"/>
      <c r="G25" s="137"/>
      <c r="H25" s="137"/>
      <c r="I25" s="137"/>
      <c r="J25" s="137"/>
      <c r="K25" s="137"/>
      <c r="L25" s="137"/>
      <c r="M25" s="137"/>
      <c r="N25" s="137"/>
      <c r="O25" s="52"/>
    </row>
    <row r="26" spans="1:16" ht="15.75">
      <c r="A26" s="138"/>
      <c r="B26" s="52"/>
      <c r="C26" s="52"/>
      <c r="D26" s="52"/>
      <c r="E26" s="52"/>
      <c r="F26" s="52"/>
      <c r="G26" s="52"/>
      <c r="H26" s="52"/>
      <c r="I26" s="52"/>
      <c r="J26" s="52"/>
      <c r="K26" s="52"/>
      <c r="L26" s="52"/>
      <c r="M26" s="52"/>
      <c r="N26" s="52"/>
      <c r="O26" s="52"/>
      <c r="P26" s="52"/>
    </row>
    <row r="27" spans="1:16" ht="13.5">
      <c r="A27" s="139"/>
      <c r="B27" s="52"/>
      <c r="C27" s="52"/>
      <c r="D27" s="52"/>
      <c r="E27" s="52"/>
      <c r="F27" s="52"/>
      <c r="G27" s="52"/>
      <c r="H27" s="52"/>
      <c r="I27" s="52"/>
      <c r="J27" s="52"/>
      <c r="K27" s="52"/>
      <c r="L27" s="52"/>
      <c r="M27" s="52"/>
      <c r="N27" s="52"/>
      <c r="O27" s="52"/>
      <c r="P27" s="54"/>
    </row>
  </sheetData>
  <mergeCells count="22">
    <mergeCell ref="V10:W10"/>
    <mergeCell ref="V11:W11"/>
    <mergeCell ref="V13:W13"/>
    <mergeCell ref="O5:T5"/>
    <mergeCell ref="O6:T6"/>
    <mergeCell ref="O7:T7"/>
    <mergeCell ref="O10:T10"/>
    <mergeCell ref="O9:T9"/>
    <mergeCell ref="O3:Q3"/>
    <mergeCell ref="A1:S1"/>
    <mergeCell ref="A2:S2"/>
    <mergeCell ref="O4:T4"/>
    <mergeCell ref="R3:T3"/>
    <mergeCell ref="A21:Q21"/>
    <mergeCell ref="O8:T8"/>
    <mergeCell ref="O12:T12"/>
    <mergeCell ref="O13:T13"/>
    <mergeCell ref="O14:T14"/>
    <mergeCell ref="O15:T17"/>
    <mergeCell ref="I20:O20"/>
    <mergeCell ref="A19:F19"/>
    <mergeCell ref="O11:T11"/>
  </mergeCells>
  <printOptions/>
  <pageMargins left="0.66" right="0.52" top="0.61" bottom="0.5" header="0.5" footer="0.77"/>
  <pageSetup horizontalDpi="600" verticalDpi="600" orientation="landscape" scale="83" r:id="rId1"/>
  <headerFooter alignWithMargins="0">
    <oddFooter>&amp;L&amp;7&amp;Z&amp;F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workbookViewId="0" topLeftCell="A1">
      <selection activeCell="A1" sqref="A1:S1"/>
    </sheetView>
  </sheetViews>
  <sheetFormatPr defaultColWidth="9.140625" defaultRowHeight="12.75"/>
  <cols>
    <col min="1" max="1" width="17.8515625" style="0" customWidth="1"/>
    <col min="2" max="3" width="6.8515625" style="0" customWidth="1"/>
    <col min="4" max="17" width="6.57421875" style="0" customWidth="1"/>
    <col min="18" max="18" width="8.28125" style="0" customWidth="1"/>
    <col min="19" max="19" width="2.7109375" style="0" customWidth="1"/>
  </cols>
  <sheetData>
    <row r="1" spans="1:18" ht="12.75">
      <c r="A1" s="191" t="s">
        <v>18</v>
      </c>
      <c r="B1" s="192"/>
      <c r="C1" s="192"/>
      <c r="D1" s="192"/>
      <c r="E1" s="192"/>
      <c r="F1" s="192"/>
      <c r="G1" s="192"/>
      <c r="H1" s="192"/>
      <c r="I1" s="192"/>
      <c r="J1" s="192"/>
      <c r="K1" s="192"/>
      <c r="L1" s="192"/>
      <c r="M1" s="199"/>
      <c r="N1" s="199"/>
      <c r="O1" s="199"/>
      <c r="P1" s="199"/>
      <c r="Q1" s="199"/>
      <c r="R1" s="199"/>
    </row>
    <row r="2" spans="1:18" ht="12.75">
      <c r="A2" s="191" t="s">
        <v>94</v>
      </c>
      <c r="B2" s="192"/>
      <c r="C2" s="192"/>
      <c r="D2" s="192"/>
      <c r="E2" s="192"/>
      <c r="F2" s="192"/>
      <c r="G2" s="192"/>
      <c r="H2" s="192"/>
      <c r="I2" s="192"/>
      <c r="J2" s="192"/>
      <c r="K2" s="192"/>
      <c r="L2" s="192"/>
      <c r="M2" s="192"/>
      <c r="N2" s="199"/>
      <c r="O2" s="199"/>
      <c r="P2" s="199"/>
      <c r="Q2" s="199"/>
      <c r="R2" s="199"/>
    </row>
    <row r="3" spans="3:18" ht="13.5">
      <c r="C3" s="104"/>
      <c r="D3" s="102"/>
      <c r="E3" s="102"/>
      <c r="F3" s="102"/>
      <c r="G3" s="102"/>
      <c r="H3" s="102"/>
      <c r="I3" s="102"/>
      <c r="J3" s="102"/>
      <c r="K3" s="102"/>
      <c r="L3" s="102"/>
      <c r="M3" s="227" t="s">
        <v>129</v>
      </c>
      <c r="N3" s="228"/>
      <c r="O3" s="228"/>
      <c r="P3" s="228"/>
      <c r="Q3" s="228"/>
      <c r="R3" s="228"/>
    </row>
    <row r="4" spans="1:18" ht="41.25" customHeight="1">
      <c r="A4" s="11" t="s">
        <v>18</v>
      </c>
      <c r="B4" s="142" t="s">
        <v>8</v>
      </c>
      <c r="C4" s="26" t="s">
        <v>7</v>
      </c>
      <c r="D4" s="26" t="s">
        <v>6</v>
      </c>
      <c r="E4" s="26" t="s">
        <v>5</v>
      </c>
      <c r="F4" s="26" t="s">
        <v>4</v>
      </c>
      <c r="G4" s="26" t="s">
        <v>3</v>
      </c>
      <c r="H4" s="26" t="s">
        <v>2</v>
      </c>
      <c r="I4" s="26" t="s">
        <v>1</v>
      </c>
      <c r="J4" s="26" t="s">
        <v>28</v>
      </c>
      <c r="K4" s="26" t="s">
        <v>32</v>
      </c>
      <c r="L4" s="41" t="s">
        <v>78</v>
      </c>
      <c r="M4" s="219" t="s">
        <v>105</v>
      </c>
      <c r="N4" s="217"/>
      <c r="O4" s="217"/>
      <c r="P4" s="217"/>
      <c r="Q4" s="217"/>
      <c r="R4" s="218"/>
    </row>
    <row r="5" spans="1:20" ht="30" customHeight="1">
      <c r="A5" s="25" t="s">
        <v>100</v>
      </c>
      <c r="B5" s="38">
        <v>18.47</v>
      </c>
      <c r="C5" s="38">
        <v>19.4</v>
      </c>
      <c r="D5" s="38">
        <v>20.32</v>
      </c>
      <c r="E5" s="38">
        <v>21.24</v>
      </c>
      <c r="F5" s="38">
        <v>22.15</v>
      </c>
      <c r="G5" s="38">
        <v>23.26</v>
      </c>
      <c r="H5" s="38">
        <v>24.42</v>
      </c>
      <c r="I5" s="38">
        <f>+H5</f>
        <v>24.42</v>
      </c>
      <c r="J5" s="38">
        <f>+I5</f>
        <v>24.42</v>
      </c>
      <c r="K5" s="99">
        <f>+J5*1.03</f>
        <v>25.152600000000003</v>
      </c>
      <c r="L5" s="38">
        <f aca="true" t="shared" si="0" ref="L5:L13">+K5</f>
        <v>25.152600000000003</v>
      </c>
      <c r="M5" s="213" t="s">
        <v>48</v>
      </c>
      <c r="N5" s="239"/>
      <c r="O5" s="239"/>
      <c r="P5" s="239"/>
      <c r="Q5" s="239"/>
      <c r="R5" s="240"/>
      <c r="S5" s="17"/>
      <c r="T5" s="17"/>
    </row>
    <row r="6" spans="1:20" ht="30" customHeight="1">
      <c r="A6" s="42" t="s">
        <v>107</v>
      </c>
      <c r="B6" s="38">
        <v>15.69</v>
      </c>
      <c r="C6" s="38">
        <v>16.5</v>
      </c>
      <c r="D6" s="38">
        <v>17.35</v>
      </c>
      <c r="E6" s="38">
        <v>18.21</v>
      </c>
      <c r="F6" s="38">
        <v>19.13</v>
      </c>
      <c r="G6" s="38">
        <f>+F6</f>
        <v>19.13</v>
      </c>
      <c r="H6" s="38">
        <f>+G6</f>
        <v>19.13</v>
      </c>
      <c r="I6" s="38">
        <f>+H6</f>
        <v>19.13</v>
      </c>
      <c r="J6" s="99">
        <f>+I6*1.03</f>
        <v>19.7039</v>
      </c>
      <c r="K6" s="38">
        <f>+J6</f>
        <v>19.7039</v>
      </c>
      <c r="L6" s="38">
        <f t="shared" si="0"/>
        <v>19.7039</v>
      </c>
      <c r="M6" s="213" t="s">
        <v>49</v>
      </c>
      <c r="N6" s="239"/>
      <c r="O6" s="239"/>
      <c r="P6" s="239"/>
      <c r="Q6" s="239"/>
      <c r="R6" s="240"/>
      <c r="S6" s="17"/>
      <c r="T6" s="17"/>
    </row>
    <row r="7" spans="1:21" s="43" customFormat="1" ht="30" customHeight="1">
      <c r="A7" s="25" t="s">
        <v>109</v>
      </c>
      <c r="B7" s="112">
        <v>16.39</v>
      </c>
      <c r="C7" s="112">
        <v>17.22</v>
      </c>
      <c r="D7" s="112">
        <v>18.09</v>
      </c>
      <c r="E7" s="112">
        <v>19</v>
      </c>
      <c r="F7" s="112">
        <v>19.97</v>
      </c>
      <c r="G7" s="112">
        <v>20.98</v>
      </c>
      <c r="H7" s="112">
        <f aca="true" t="shared" si="1" ref="H7:J9">+G7</f>
        <v>20.98</v>
      </c>
      <c r="I7" s="112">
        <f t="shared" si="1"/>
        <v>20.98</v>
      </c>
      <c r="J7" s="112">
        <f t="shared" si="1"/>
        <v>20.98</v>
      </c>
      <c r="K7" s="112">
        <f>+J7</f>
        <v>20.98</v>
      </c>
      <c r="L7" s="129">
        <f>+K7*1.02</f>
        <v>21.3996</v>
      </c>
      <c r="M7" s="213" t="s">
        <v>50</v>
      </c>
      <c r="N7" s="241"/>
      <c r="O7" s="241"/>
      <c r="P7" s="241"/>
      <c r="Q7" s="241"/>
      <c r="R7" s="242"/>
      <c r="S7" s="17" t="s">
        <v>79</v>
      </c>
      <c r="T7" s="120" t="s">
        <v>92</v>
      </c>
      <c r="U7" s="121"/>
    </row>
    <row r="8" spans="1:20" ht="30" customHeight="1">
      <c r="A8" s="125" t="s">
        <v>108</v>
      </c>
      <c r="B8" s="38">
        <v>19.38</v>
      </c>
      <c r="C8" s="38">
        <v>20.23</v>
      </c>
      <c r="D8" s="38">
        <v>21.12</v>
      </c>
      <c r="E8" s="38">
        <v>22.05</v>
      </c>
      <c r="F8" s="38">
        <v>23.03</v>
      </c>
      <c r="G8" s="38">
        <f>+F8</f>
        <v>23.03</v>
      </c>
      <c r="H8" s="38">
        <f t="shared" si="1"/>
        <v>23.03</v>
      </c>
      <c r="I8" s="38">
        <f t="shared" si="1"/>
        <v>23.03</v>
      </c>
      <c r="J8" s="38">
        <f t="shared" si="1"/>
        <v>23.03</v>
      </c>
      <c r="K8" s="38">
        <f>+J8</f>
        <v>23.03</v>
      </c>
      <c r="L8" s="99">
        <f>+K8*1.025</f>
        <v>23.60575</v>
      </c>
      <c r="M8" s="213" t="s">
        <v>111</v>
      </c>
      <c r="N8" s="225"/>
      <c r="O8" s="225"/>
      <c r="P8" s="225"/>
      <c r="Q8" s="225"/>
      <c r="R8" s="226"/>
      <c r="S8" s="122"/>
      <c r="T8" s="17"/>
    </row>
    <row r="9" spans="1:20" ht="30" customHeight="1">
      <c r="A9" s="25" t="s">
        <v>113</v>
      </c>
      <c r="B9" s="38">
        <v>12.44</v>
      </c>
      <c r="C9" s="38">
        <v>13.07</v>
      </c>
      <c r="D9" s="38">
        <v>13.73</v>
      </c>
      <c r="E9" s="38">
        <v>14.41</v>
      </c>
      <c r="F9" s="38">
        <v>15.15</v>
      </c>
      <c r="G9" s="38">
        <v>15.92</v>
      </c>
      <c r="H9" s="38">
        <f t="shared" si="1"/>
        <v>15.92</v>
      </c>
      <c r="I9" s="38">
        <f t="shared" si="1"/>
        <v>15.92</v>
      </c>
      <c r="J9" s="38">
        <f t="shared" si="1"/>
        <v>15.92</v>
      </c>
      <c r="K9" s="38">
        <f>+J9</f>
        <v>15.92</v>
      </c>
      <c r="L9" s="99">
        <f>+K9*1.025</f>
        <v>16.317999999999998</v>
      </c>
      <c r="M9" s="213" t="s">
        <v>115</v>
      </c>
      <c r="N9" s="239"/>
      <c r="O9" s="239"/>
      <c r="P9" s="239"/>
      <c r="Q9" s="239"/>
      <c r="R9" s="240"/>
      <c r="S9" s="17"/>
      <c r="T9" s="123"/>
    </row>
    <row r="10" spans="1:20" s="43" customFormat="1" ht="30" customHeight="1">
      <c r="A10" s="25" t="s">
        <v>117</v>
      </c>
      <c r="B10" s="112">
        <v>13</v>
      </c>
      <c r="C10" s="112">
        <v>13.65</v>
      </c>
      <c r="D10" s="112">
        <v>14.34</v>
      </c>
      <c r="E10" s="112">
        <v>15.05</v>
      </c>
      <c r="F10" s="112">
        <v>15.8</v>
      </c>
      <c r="G10" s="112">
        <v>16.59</v>
      </c>
      <c r="H10" s="112">
        <f>+G10</f>
        <v>16.59</v>
      </c>
      <c r="I10" s="112">
        <f>+H10</f>
        <v>16.59</v>
      </c>
      <c r="J10" s="112">
        <f>+I10</f>
        <v>16.59</v>
      </c>
      <c r="K10" s="129">
        <f>+J10*1.025</f>
        <v>17.004749999999998</v>
      </c>
      <c r="L10" s="112">
        <f t="shared" si="0"/>
        <v>17.004749999999998</v>
      </c>
      <c r="M10" s="213" t="s">
        <v>51</v>
      </c>
      <c r="N10" s="241"/>
      <c r="O10" s="241"/>
      <c r="P10" s="241"/>
      <c r="Q10" s="241"/>
      <c r="R10" s="242"/>
      <c r="S10" s="17"/>
      <c r="T10" s="124"/>
    </row>
    <row r="11" spans="1:20" ht="30" customHeight="1">
      <c r="A11" s="25" t="s">
        <v>119</v>
      </c>
      <c r="B11" s="38">
        <v>16.73</v>
      </c>
      <c r="C11" s="38">
        <v>17.58</v>
      </c>
      <c r="D11" s="38">
        <v>18.45</v>
      </c>
      <c r="E11" s="38">
        <v>19.39</v>
      </c>
      <c r="F11" s="38">
        <v>20.38</v>
      </c>
      <c r="G11" s="99">
        <f>+F11*1.03</f>
        <v>20.9914</v>
      </c>
      <c r="H11" s="38">
        <f aca="true" t="shared" si="2" ref="H11:J12">+G11</f>
        <v>20.9914</v>
      </c>
      <c r="I11" s="38">
        <f t="shared" si="2"/>
        <v>20.9914</v>
      </c>
      <c r="J11" s="38">
        <f t="shared" si="2"/>
        <v>20.9914</v>
      </c>
      <c r="K11" s="38">
        <f>+J11</f>
        <v>20.9914</v>
      </c>
      <c r="L11" s="99">
        <f>+F11*1.04</f>
        <v>21.1952</v>
      </c>
      <c r="M11" s="213" t="s">
        <v>52</v>
      </c>
      <c r="N11" s="225"/>
      <c r="O11" s="225"/>
      <c r="P11" s="225"/>
      <c r="Q11" s="225"/>
      <c r="R11" s="226"/>
      <c r="S11" s="17"/>
      <c r="T11" s="124"/>
    </row>
    <row r="12" spans="1:20" ht="30" customHeight="1">
      <c r="A12" s="25" t="s">
        <v>123</v>
      </c>
      <c r="B12" s="38">
        <f>30963/1950</f>
        <v>15.878461538461538</v>
      </c>
      <c r="C12" s="38">
        <f>32353/1950</f>
        <v>16.59128205128205</v>
      </c>
      <c r="D12" s="38">
        <f>33797/1950</f>
        <v>17.331794871794873</v>
      </c>
      <c r="E12" s="38">
        <f>35258/1950</f>
        <v>18.08102564102564</v>
      </c>
      <c r="F12" s="38">
        <f>36840/1950</f>
        <v>18.892307692307693</v>
      </c>
      <c r="G12" s="99">
        <f>$F12+(533/1950)</f>
        <v>19.165641025641026</v>
      </c>
      <c r="H12" s="38">
        <f t="shared" si="2"/>
        <v>19.165641025641026</v>
      </c>
      <c r="I12" s="38">
        <f t="shared" si="2"/>
        <v>19.165641025641026</v>
      </c>
      <c r="J12" s="38">
        <f t="shared" si="2"/>
        <v>19.165641025641026</v>
      </c>
      <c r="K12" s="99">
        <f>$F12+(1865/1950)</f>
        <v>19.848717948717947</v>
      </c>
      <c r="L12" s="38">
        <f t="shared" si="0"/>
        <v>19.848717948717947</v>
      </c>
      <c r="M12" s="236" t="s">
        <v>97</v>
      </c>
      <c r="N12" s="237"/>
      <c r="O12" s="237"/>
      <c r="P12" s="237"/>
      <c r="Q12" s="237"/>
      <c r="R12" s="238"/>
      <c r="S12" s="17"/>
      <c r="T12" s="130"/>
    </row>
    <row r="13" spans="1:20" ht="30" customHeight="1">
      <c r="A13" s="25" t="s">
        <v>127</v>
      </c>
      <c r="B13" s="38">
        <v>15.35</v>
      </c>
      <c r="C13" s="38">
        <v>16.12</v>
      </c>
      <c r="D13" s="38">
        <v>16.92</v>
      </c>
      <c r="E13" s="38">
        <v>17.77</v>
      </c>
      <c r="F13" s="38">
        <v>18.66</v>
      </c>
      <c r="G13" s="38">
        <f>+F13</f>
        <v>18.66</v>
      </c>
      <c r="H13" s="38">
        <f>+G13</f>
        <v>18.66</v>
      </c>
      <c r="I13" s="99">
        <f>+H13*1.025-0.01</f>
        <v>19.1165</v>
      </c>
      <c r="J13" s="38">
        <f>+I13</f>
        <v>19.1165</v>
      </c>
      <c r="K13" s="38">
        <f>+J13</f>
        <v>19.1165</v>
      </c>
      <c r="L13" s="38">
        <f t="shared" si="0"/>
        <v>19.1165</v>
      </c>
      <c r="M13" s="213" t="s">
        <v>53</v>
      </c>
      <c r="N13" s="225"/>
      <c r="O13" s="225"/>
      <c r="P13" s="225"/>
      <c r="Q13" s="225"/>
      <c r="R13" s="226"/>
      <c r="S13" s="17"/>
      <c r="T13" s="124"/>
    </row>
    <row r="14" spans="1:19" ht="30" customHeight="1">
      <c r="A14" s="25" t="s">
        <v>121</v>
      </c>
      <c r="B14" s="38">
        <v>15.93</v>
      </c>
      <c r="C14" s="38">
        <v>16.73</v>
      </c>
      <c r="D14" s="38">
        <v>17.57</v>
      </c>
      <c r="E14" s="38">
        <v>18.45</v>
      </c>
      <c r="F14" s="38">
        <v>19.37</v>
      </c>
      <c r="G14" s="99">
        <f>20.34*1.04</f>
        <v>21.1536</v>
      </c>
      <c r="H14" s="38">
        <f>+G14</f>
        <v>21.1536</v>
      </c>
      <c r="I14" s="38">
        <f>+H14</f>
        <v>21.1536</v>
      </c>
      <c r="J14" s="38">
        <f>+I14</f>
        <v>21.1536</v>
      </c>
      <c r="K14" s="38">
        <f>+J14</f>
        <v>21.1536</v>
      </c>
      <c r="L14" s="99">
        <f>20.34*1.06</f>
        <v>21.5604</v>
      </c>
      <c r="M14" s="213" t="s">
        <v>54</v>
      </c>
      <c r="N14" s="225"/>
      <c r="O14" s="225"/>
      <c r="P14" s="225"/>
      <c r="Q14" s="225"/>
      <c r="R14" s="226"/>
      <c r="S14" s="17"/>
    </row>
    <row r="15" spans="1:18" ht="13.5">
      <c r="A15" s="44" t="s">
        <v>0</v>
      </c>
      <c r="B15" s="45">
        <f>SUM(B5:B14)</f>
        <v>159.25846153846155</v>
      </c>
      <c r="C15" s="45">
        <f aca="true" t="shared" si="3" ref="C15:L15">SUM(C5:C14)</f>
        <v>167.09128205128204</v>
      </c>
      <c r="D15" s="45">
        <f t="shared" si="3"/>
        <v>175.22179487179488</v>
      </c>
      <c r="E15" s="45">
        <f t="shared" si="3"/>
        <v>183.65102564102563</v>
      </c>
      <c r="F15" s="45">
        <f t="shared" si="3"/>
        <v>192.5323076923077</v>
      </c>
      <c r="G15" s="45">
        <f t="shared" si="3"/>
        <v>198.88064102564107</v>
      </c>
      <c r="H15" s="45">
        <f t="shared" si="3"/>
        <v>200.04064102564104</v>
      </c>
      <c r="I15" s="45">
        <f t="shared" si="3"/>
        <v>200.49714102564104</v>
      </c>
      <c r="J15" s="45">
        <f t="shared" si="3"/>
        <v>201.07104102564108</v>
      </c>
      <c r="K15" s="46">
        <f t="shared" si="3"/>
        <v>202.90146794871794</v>
      </c>
      <c r="L15" s="46">
        <f t="shared" si="3"/>
        <v>204.9054179487179</v>
      </c>
      <c r="M15" s="231" t="s">
        <v>36</v>
      </c>
      <c r="N15" s="232"/>
      <c r="O15" s="232"/>
      <c r="P15" s="232"/>
      <c r="Q15" s="232"/>
      <c r="R15" s="233"/>
    </row>
    <row r="16" spans="1:18" ht="13.5">
      <c r="A16" s="11" t="s">
        <v>45</v>
      </c>
      <c r="B16" s="45">
        <f>B15/10</f>
        <v>15.925846153846155</v>
      </c>
      <c r="C16" s="45">
        <f aca="true" t="shared" si="4" ref="C16:L16">C15/10</f>
        <v>16.709128205128202</v>
      </c>
      <c r="D16" s="45">
        <f t="shared" si="4"/>
        <v>17.52217948717949</v>
      </c>
      <c r="E16" s="45">
        <f t="shared" si="4"/>
        <v>18.365102564102564</v>
      </c>
      <c r="F16" s="45">
        <f t="shared" si="4"/>
        <v>19.253230769230772</v>
      </c>
      <c r="G16" s="131">
        <f t="shared" si="4"/>
        <v>19.88806410256411</v>
      </c>
      <c r="H16" s="131">
        <f t="shared" si="4"/>
        <v>20.004064102564104</v>
      </c>
      <c r="I16" s="45">
        <f t="shared" si="4"/>
        <v>20.049714102564103</v>
      </c>
      <c r="J16" s="45">
        <f t="shared" si="4"/>
        <v>20.107104102564108</v>
      </c>
      <c r="K16" s="46">
        <f t="shared" si="4"/>
        <v>20.290146794871795</v>
      </c>
      <c r="L16" s="46">
        <f t="shared" si="4"/>
        <v>20.490541794871792</v>
      </c>
      <c r="M16" s="234"/>
      <c r="N16" s="228"/>
      <c r="O16" s="228"/>
      <c r="P16" s="228"/>
      <c r="Q16" s="228"/>
      <c r="R16" s="235"/>
    </row>
    <row r="17" spans="2:12" ht="12.75">
      <c r="B17" s="57"/>
      <c r="C17" s="57"/>
      <c r="D17" s="57"/>
      <c r="E17" s="57"/>
      <c r="F17" s="57"/>
      <c r="G17" s="57"/>
      <c r="H17" s="57"/>
      <c r="I17" s="57"/>
      <c r="J17" s="57"/>
      <c r="K17" s="57"/>
      <c r="L17" s="57"/>
    </row>
    <row r="18" spans="1:18" ht="13.5" customHeight="1">
      <c r="A18" s="229" t="s">
        <v>55</v>
      </c>
      <c r="B18" s="230"/>
      <c r="C18" s="230"/>
      <c r="D18" s="230"/>
      <c r="E18" s="230"/>
      <c r="F18" s="230"/>
      <c r="G18" s="230"/>
      <c r="H18" s="230"/>
      <c r="I18" s="230"/>
      <c r="J18" s="230"/>
      <c r="K18" s="230"/>
      <c r="L18" s="230"/>
      <c r="M18" s="230"/>
      <c r="N18" s="230"/>
      <c r="O18" s="230"/>
      <c r="P18" s="230"/>
      <c r="Q18" s="230"/>
      <c r="R18" s="230"/>
    </row>
    <row r="19" spans="1:18" ht="13.5" customHeight="1">
      <c r="A19" s="58"/>
      <c r="B19" s="59"/>
      <c r="C19" s="59"/>
      <c r="D19" s="59"/>
      <c r="E19" s="59"/>
      <c r="F19" s="59"/>
      <c r="G19" s="59"/>
      <c r="H19" s="59"/>
      <c r="I19" s="59"/>
      <c r="J19" s="59"/>
      <c r="K19" s="59"/>
      <c r="L19" s="59"/>
      <c r="M19" s="59"/>
      <c r="N19" s="59"/>
      <c r="O19" s="59"/>
      <c r="P19" s="59"/>
      <c r="Q19" s="59"/>
      <c r="R19" s="59"/>
    </row>
    <row r="20" spans="1:18" ht="13.5" customHeight="1">
      <c r="A20" s="198" t="s">
        <v>30</v>
      </c>
      <c r="B20" s="199"/>
      <c r="C20" s="199"/>
      <c r="D20" s="199"/>
      <c r="E20" s="199"/>
      <c r="F20" s="199"/>
      <c r="G20" s="59"/>
      <c r="H20" s="59"/>
      <c r="I20" s="59"/>
      <c r="J20" s="59"/>
      <c r="K20" s="59"/>
      <c r="L20" s="59"/>
      <c r="M20" s="59"/>
      <c r="N20" s="59"/>
      <c r="O20" s="59"/>
      <c r="P20" s="59"/>
      <c r="Q20" s="59"/>
      <c r="R20" s="59"/>
    </row>
    <row r="21" spans="1:19" ht="12.75">
      <c r="A21" s="52"/>
      <c r="B21" s="52"/>
      <c r="C21" s="52"/>
      <c r="D21" s="52"/>
      <c r="E21" s="52"/>
      <c r="F21" s="52"/>
      <c r="G21" s="52"/>
      <c r="H21" s="52"/>
      <c r="I21" s="52"/>
      <c r="J21" s="52"/>
      <c r="K21" s="52"/>
      <c r="L21" s="52"/>
      <c r="M21" s="52"/>
      <c r="N21" s="52"/>
      <c r="O21" s="52"/>
      <c r="P21" s="52"/>
      <c r="Q21" s="52"/>
      <c r="R21" s="52"/>
      <c r="S21" s="52"/>
    </row>
    <row r="22" spans="1:19" ht="13.5" customHeight="1">
      <c r="A22" s="132"/>
      <c r="B22" s="59"/>
      <c r="C22" s="59"/>
      <c r="D22" s="52"/>
      <c r="E22" s="52"/>
      <c r="F22" s="52"/>
      <c r="G22" s="52"/>
      <c r="H22" s="52"/>
      <c r="I22" s="52"/>
      <c r="J22" s="52"/>
      <c r="K22" s="133"/>
      <c r="L22" s="134"/>
      <c r="M22" s="135"/>
      <c r="N22" s="52"/>
      <c r="O22" s="52"/>
      <c r="P22" s="52"/>
      <c r="Q22" s="52"/>
      <c r="R22" s="52"/>
      <c r="S22" s="52"/>
    </row>
    <row r="23" spans="1:19" ht="13.5" customHeight="1">
      <c r="A23" s="136"/>
      <c r="B23" s="137"/>
      <c r="C23" s="137"/>
      <c r="D23" s="137"/>
      <c r="E23" s="137"/>
      <c r="F23" s="137"/>
      <c r="G23" s="137"/>
      <c r="H23" s="137"/>
      <c r="I23" s="137"/>
      <c r="J23" s="137"/>
      <c r="K23" s="137"/>
      <c r="L23" s="137"/>
      <c r="M23" s="137"/>
      <c r="N23" s="52"/>
      <c r="O23" s="52"/>
      <c r="P23" s="52"/>
      <c r="Q23" s="52"/>
      <c r="R23" s="52"/>
      <c r="S23" s="52"/>
    </row>
    <row r="24" spans="1:19" ht="13.5" customHeight="1">
      <c r="A24" s="136"/>
      <c r="B24" s="137"/>
      <c r="C24" s="137"/>
      <c r="D24" s="137"/>
      <c r="E24" s="137"/>
      <c r="F24" s="137"/>
      <c r="G24" s="137"/>
      <c r="H24" s="137"/>
      <c r="I24" s="137"/>
      <c r="J24" s="137"/>
      <c r="K24" s="137"/>
      <c r="L24" s="137"/>
      <c r="M24" s="137"/>
      <c r="N24" s="52"/>
      <c r="O24" s="52"/>
      <c r="P24" s="52"/>
      <c r="Q24" s="52"/>
      <c r="R24" s="52"/>
      <c r="S24" s="52"/>
    </row>
    <row r="25" spans="1:19" ht="13.5" customHeight="1">
      <c r="A25" s="138"/>
      <c r="B25" s="52"/>
      <c r="C25" s="52"/>
      <c r="D25" s="52"/>
      <c r="E25" s="52"/>
      <c r="F25" s="52"/>
      <c r="G25" s="52"/>
      <c r="H25" s="52"/>
      <c r="I25" s="52"/>
      <c r="J25" s="52"/>
      <c r="K25" s="52"/>
      <c r="L25" s="52"/>
      <c r="M25" s="52"/>
      <c r="N25" s="52"/>
      <c r="O25" s="52"/>
      <c r="P25" s="52"/>
      <c r="Q25" s="52"/>
      <c r="R25" s="52"/>
      <c r="S25" s="52"/>
    </row>
    <row r="26" spans="1:19" ht="13.5" customHeight="1">
      <c r="A26" s="139"/>
      <c r="B26" s="52"/>
      <c r="C26" s="52"/>
      <c r="D26" s="52"/>
      <c r="E26" s="52"/>
      <c r="F26" s="52"/>
      <c r="G26" s="52"/>
      <c r="H26" s="52"/>
      <c r="I26" s="52"/>
      <c r="J26" s="52"/>
      <c r="K26" s="52"/>
      <c r="L26" s="52"/>
      <c r="M26" s="52"/>
      <c r="N26" s="52"/>
      <c r="O26" s="52"/>
      <c r="P26" s="52"/>
      <c r="Q26" s="52"/>
      <c r="R26" s="52"/>
      <c r="S26" s="52"/>
    </row>
    <row r="27" spans="1:18" ht="13.5" customHeight="1">
      <c r="A27" s="58"/>
      <c r="B27" s="59"/>
      <c r="C27" s="59"/>
      <c r="D27" s="59"/>
      <c r="E27" s="59"/>
      <c r="F27" s="59"/>
      <c r="G27" s="59"/>
      <c r="H27" s="59"/>
      <c r="I27" s="59"/>
      <c r="J27" s="59"/>
      <c r="K27" s="59"/>
      <c r="L27" s="59"/>
      <c r="M27" s="59"/>
      <c r="N27" s="59"/>
      <c r="O27" s="59"/>
      <c r="P27" s="59"/>
      <c r="Q27" s="59"/>
      <c r="R27" s="59"/>
    </row>
  </sheetData>
  <mergeCells count="17">
    <mergeCell ref="A1:R1"/>
    <mergeCell ref="A2:R2"/>
    <mergeCell ref="M13:R13"/>
    <mergeCell ref="M11:R11"/>
    <mergeCell ref="M14:R14"/>
    <mergeCell ref="M12:R12"/>
    <mergeCell ref="M4:R4"/>
    <mergeCell ref="M9:R9"/>
    <mergeCell ref="M10:R10"/>
    <mergeCell ref="M5:R5"/>
    <mergeCell ref="M6:R6"/>
    <mergeCell ref="M7:R7"/>
    <mergeCell ref="M8:R8"/>
    <mergeCell ref="M3:R3"/>
    <mergeCell ref="A20:F20"/>
    <mergeCell ref="A18:R18"/>
    <mergeCell ref="M15:R16"/>
  </mergeCells>
  <printOptions/>
  <pageMargins left="0.75" right="0.75" top="0.5" bottom="1" header="0.5" footer="0.5"/>
  <pageSetup horizontalDpi="600" verticalDpi="600" orientation="landscape" scale="91" r:id="rId1"/>
  <headerFooter alignWithMargins="0">
    <oddFooter>&amp;L&amp;7&amp;Z&amp;F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workbookViewId="0" topLeftCell="A1">
      <selection activeCell="A1" sqref="A1:S1"/>
    </sheetView>
  </sheetViews>
  <sheetFormatPr defaultColWidth="9.140625" defaultRowHeight="12.75"/>
  <cols>
    <col min="1" max="1" width="18.00390625" style="0" customWidth="1"/>
    <col min="2" max="3" width="6.8515625" style="0" customWidth="1"/>
    <col min="4" max="10" width="6.57421875" style="0" customWidth="1"/>
    <col min="11" max="11" width="8.00390625" style="0" customWidth="1"/>
    <col min="12" max="14" width="6.57421875" style="0" customWidth="1"/>
    <col min="15" max="19" width="6.8515625" style="0" customWidth="1"/>
    <col min="20" max="20" width="6.57421875" style="0" customWidth="1"/>
    <col min="21" max="21" width="2.7109375" style="0" customWidth="1"/>
  </cols>
  <sheetData>
    <row r="1" spans="1:19" ht="14.25">
      <c r="A1" s="191" t="s">
        <v>126</v>
      </c>
      <c r="B1" s="192"/>
      <c r="C1" s="192"/>
      <c r="D1" s="192"/>
      <c r="E1" s="192"/>
      <c r="F1" s="192"/>
      <c r="G1" s="192"/>
      <c r="H1" s="192"/>
      <c r="I1" s="192"/>
      <c r="J1" s="192"/>
      <c r="K1" s="192"/>
      <c r="L1" s="192"/>
      <c r="M1" s="192"/>
      <c r="N1" s="192"/>
      <c r="O1" s="199"/>
      <c r="P1" s="199"/>
      <c r="Q1" s="199"/>
      <c r="R1" s="199"/>
      <c r="S1" s="199"/>
    </row>
    <row r="2" spans="1:19" ht="13.5">
      <c r="A2" s="191" t="s">
        <v>122</v>
      </c>
      <c r="B2" s="192"/>
      <c r="C2" s="192"/>
      <c r="D2" s="192"/>
      <c r="E2" s="192"/>
      <c r="F2" s="192"/>
      <c r="G2" s="192"/>
      <c r="H2" s="192"/>
      <c r="I2" s="192"/>
      <c r="J2" s="192"/>
      <c r="K2" s="192"/>
      <c r="L2" s="192"/>
      <c r="M2" s="192"/>
      <c r="N2" s="192"/>
      <c r="O2" s="199"/>
      <c r="P2" s="199"/>
      <c r="Q2" s="199"/>
      <c r="R2" s="199"/>
      <c r="S2" s="199"/>
    </row>
    <row r="3" spans="2:20" ht="18" customHeight="1">
      <c r="B3" s="103"/>
      <c r="C3" s="103"/>
      <c r="D3" s="103"/>
      <c r="E3" s="103"/>
      <c r="F3" s="103"/>
      <c r="G3" s="103"/>
      <c r="H3" s="103"/>
      <c r="I3" s="103"/>
      <c r="J3" s="103"/>
      <c r="K3" s="102"/>
      <c r="L3" s="102"/>
      <c r="M3" s="102"/>
      <c r="N3" s="102"/>
      <c r="O3" s="189"/>
      <c r="P3" s="200"/>
      <c r="Q3" s="200"/>
      <c r="R3" s="189" t="s">
        <v>129</v>
      </c>
      <c r="S3" s="200"/>
      <c r="T3" s="200"/>
    </row>
    <row r="4" spans="1:20" ht="41.25" customHeight="1">
      <c r="A4" s="11" t="s">
        <v>18</v>
      </c>
      <c r="B4" s="26" t="s">
        <v>8</v>
      </c>
      <c r="C4" s="26" t="s">
        <v>7</v>
      </c>
      <c r="D4" s="26" t="s">
        <v>6</v>
      </c>
      <c r="E4" s="26" t="s">
        <v>5</v>
      </c>
      <c r="F4" s="26" t="s">
        <v>4</v>
      </c>
      <c r="G4" s="142" t="s">
        <v>3</v>
      </c>
      <c r="H4" s="26" t="s">
        <v>2</v>
      </c>
      <c r="I4" s="26" t="s">
        <v>1</v>
      </c>
      <c r="J4" s="26" t="s">
        <v>28</v>
      </c>
      <c r="K4" s="26" t="s">
        <v>32</v>
      </c>
      <c r="L4" s="41"/>
      <c r="M4" s="41"/>
      <c r="N4" s="41"/>
      <c r="O4" s="219" t="s">
        <v>106</v>
      </c>
      <c r="P4" s="217"/>
      <c r="Q4" s="217"/>
      <c r="R4" s="217"/>
      <c r="S4" s="217"/>
      <c r="T4" s="218"/>
    </row>
    <row r="5" spans="1:22" ht="30" customHeight="1">
      <c r="A5" s="25" t="s">
        <v>100</v>
      </c>
      <c r="B5" s="38">
        <v>18.47</v>
      </c>
      <c r="C5" s="38">
        <v>19.4</v>
      </c>
      <c r="D5" s="38">
        <v>20.32</v>
      </c>
      <c r="E5" s="38">
        <v>21.24</v>
      </c>
      <c r="F5" s="38">
        <v>22.15</v>
      </c>
      <c r="G5" s="38">
        <v>23.26</v>
      </c>
      <c r="H5" s="38">
        <v>24.42</v>
      </c>
      <c r="I5" s="38">
        <f aca="true" t="shared" si="0" ref="I5:K6">+H5</f>
        <v>24.42</v>
      </c>
      <c r="J5" s="38">
        <f t="shared" si="0"/>
        <v>24.42</v>
      </c>
      <c r="K5" s="38">
        <f t="shared" si="0"/>
        <v>24.42</v>
      </c>
      <c r="L5" s="99"/>
      <c r="M5" s="110"/>
      <c r="N5" s="110"/>
      <c r="O5" s="213" t="s">
        <v>56</v>
      </c>
      <c r="P5" s="239"/>
      <c r="Q5" s="239"/>
      <c r="R5" s="239"/>
      <c r="S5" s="239"/>
      <c r="T5" s="212"/>
      <c r="U5" s="17"/>
      <c r="V5" s="17"/>
    </row>
    <row r="6" spans="1:22" ht="30" customHeight="1">
      <c r="A6" s="42" t="s">
        <v>107</v>
      </c>
      <c r="B6" s="38">
        <v>15.69</v>
      </c>
      <c r="C6" s="38">
        <v>16.5</v>
      </c>
      <c r="D6" s="38">
        <v>17.35</v>
      </c>
      <c r="E6" s="38">
        <v>18.21</v>
      </c>
      <c r="F6" s="38">
        <v>19.13</v>
      </c>
      <c r="G6" s="38">
        <f>+F6</f>
        <v>19.13</v>
      </c>
      <c r="H6" s="38">
        <f>+G6</f>
        <v>19.13</v>
      </c>
      <c r="I6" s="38">
        <f t="shared" si="0"/>
        <v>19.13</v>
      </c>
      <c r="J6" s="38">
        <f t="shared" si="0"/>
        <v>19.13</v>
      </c>
      <c r="K6" s="38">
        <f t="shared" si="0"/>
        <v>19.13</v>
      </c>
      <c r="L6" s="99"/>
      <c r="M6" s="110"/>
      <c r="N6" s="110"/>
      <c r="O6" s="213" t="s">
        <v>80</v>
      </c>
      <c r="P6" s="239"/>
      <c r="Q6" s="239"/>
      <c r="R6" s="239"/>
      <c r="S6" s="239"/>
      <c r="T6" s="212"/>
      <c r="U6" s="17"/>
      <c r="V6" s="17"/>
    </row>
    <row r="7" spans="1:22" s="43" customFormat="1" ht="25.5" customHeight="1">
      <c r="A7" s="25" t="s">
        <v>95</v>
      </c>
      <c r="B7" s="112">
        <v>15.99</v>
      </c>
      <c r="C7" s="112">
        <v>16.8</v>
      </c>
      <c r="D7" s="112">
        <v>17.65</v>
      </c>
      <c r="E7" s="112">
        <v>18.54</v>
      </c>
      <c r="F7" s="112">
        <v>19.48</v>
      </c>
      <c r="G7" s="112">
        <v>20.46</v>
      </c>
      <c r="H7" s="112">
        <f aca="true" t="shared" si="1" ref="H7:H14">+G7</f>
        <v>20.46</v>
      </c>
      <c r="I7" s="112">
        <f>+G7</f>
        <v>20.46</v>
      </c>
      <c r="J7" s="112">
        <f>+G7</f>
        <v>20.46</v>
      </c>
      <c r="K7" s="129">
        <f>+$J7*1.02</f>
        <v>20.869200000000003</v>
      </c>
      <c r="L7" s="129"/>
      <c r="M7" s="110"/>
      <c r="N7" s="110"/>
      <c r="O7" s="213" t="s">
        <v>90</v>
      </c>
      <c r="P7" s="214"/>
      <c r="Q7" s="214"/>
      <c r="R7" s="214"/>
      <c r="S7" s="214"/>
      <c r="T7" s="224"/>
      <c r="U7" s="17" t="s">
        <v>79</v>
      </c>
      <c r="V7" s="120" t="s">
        <v>92</v>
      </c>
    </row>
    <row r="8" spans="1:22" ht="30" customHeight="1">
      <c r="A8" s="125" t="s">
        <v>108</v>
      </c>
      <c r="B8" s="38">
        <v>17.81</v>
      </c>
      <c r="C8" s="38">
        <v>18.58</v>
      </c>
      <c r="D8" s="38">
        <v>19.38</v>
      </c>
      <c r="E8" s="38">
        <v>20.23</v>
      </c>
      <c r="F8" s="38">
        <v>21.12</v>
      </c>
      <c r="G8" s="38">
        <f>+F8</f>
        <v>21.12</v>
      </c>
      <c r="H8" s="38">
        <f t="shared" si="1"/>
        <v>21.12</v>
      </c>
      <c r="I8" s="38">
        <f>+H8</f>
        <v>21.12</v>
      </c>
      <c r="J8" s="38">
        <f>+I8</f>
        <v>21.12</v>
      </c>
      <c r="K8" s="112">
        <f>+J8</f>
        <v>21.12</v>
      </c>
      <c r="L8" s="99">
        <f>+K8*1.025</f>
        <v>21.648</v>
      </c>
      <c r="M8" s="38"/>
      <c r="N8" s="38"/>
      <c r="O8" s="213" t="s">
        <v>112</v>
      </c>
      <c r="P8" s="239"/>
      <c r="Q8" s="239"/>
      <c r="R8" s="239"/>
      <c r="S8" s="239"/>
      <c r="T8" s="212"/>
      <c r="U8" s="122"/>
      <c r="V8" s="17"/>
    </row>
    <row r="9" spans="1:22" ht="20.25" customHeight="1">
      <c r="A9" s="25" t="s">
        <v>113</v>
      </c>
      <c r="B9" s="38">
        <v>11.85</v>
      </c>
      <c r="C9" s="38">
        <v>12.44</v>
      </c>
      <c r="D9" s="38">
        <v>13.07</v>
      </c>
      <c r="E9" s="38">
        <v>13.73</v>
      </c>
      <c r="F9" s="38">
        <v>14.41</v>
      </c>
      <c r="G9" s="38">
        <v>15.15</v>
      </c>
      <c r="H9" s="38">
        <f t="shared" si="1"/>
        <v>15.15</v>
      </c>
      <c r="I9" s="38">
        <f>+G9</f>
        <v>15.15</v>
      </c>
      <c r="J9" s="38">
        <f>+G9</f>
        <v>15.15</v>
      </c>
      <c r="K9" s="38">
        <f>+G9</f>
        <v>15.15</v>
      </c>
      <c r="L9" s="99">
        <f>+K9*1.025</f>
        <v>15.528749999999999</v>
      </c>
      <c r="M9" s="38"/>
      <c r="N9" s="38"/>
      <c r="O9" s="213" t="s">
        <v>116</v>
      </c>
      <c r="P9" s="239"/>
      <c r="Q9" s="239"/>
      <c r="R9" s="239"/>
      <c r="S9" s="239"/>
      <c r="T9" s="212"/>
      <c r="U9" s="17"/>
      <c r="V9" s="123"/>
    </row>
    <row r="10" spans="1:23" s="43" customFormat="1" ht="30" customHeight="1">
      <c r="A10" s="25" t="s">
        <v>117</v>
      </c>
      <c r="B10" s="112">
        <v>13</v>
      </c>
      <c r="C10" s="112">
        <v>13.65</v>
      </c>
      <c r="D10" s="112">
        <v>14.34</v>
      </c>
      <c r="E10" s="112">
        <v>15.05</v>
      </c>
      <c r="F10" s="112">
        <v>15.8</v>
      </c>
      <c r="G10" s="112">
        <v>16.59</v>
      </c>
      <c r="H10" s="112">
        <f t="shared" si="1"/>
        <v>16.59</v>
      </c>
      <c r="I10" s="112">
        <f>+H10</f>
        <v>16.59</v>
      </c>
      <c r="J10" s="112">
        <f>+I10</f>
        <v>16.59</v>
      </c>
      <c r="K10" s="112">
        <f>+J10</f>
        <v>16.59</v>
      </c>
      <c r="L10" s="129"/>
      <c r="M10" s="38"/>
      <c r="N10" s="38"/>
      <c r="O10" s="213" t="s">
        <v>57</v>
      </c>
      <c r="P10" s="214"/>
      <c r="Q10" s="214"/>
      <c r="R10" s="214"/>
      <c r="S10" s="214"/>
      <c r="T10" s="224"/>
      <c r="U10" s="17"/>
      <c r="V10" s="220"/>
      <c r="W10" s="220"/>
    </row>
    <row r="11" spans="1:23" ht="30" customHeight="1">
      <c r="A11" s="25" t="s">
        <v>119</v>
      </c>
      <c r="B11" s="38">
        <v>16.33</v>
      </c>
      <c r="C11" s="38">
        <v>17.16</v>
      </c>
      <c r="D11" s="38">
        <v>18.02</v>
      </c>
      <c r="E11" s="38">
        <v>18.94</v>
      </c>
      <c r="F11" s="38">
        <v>19.9</v>
      </c>
      <c r="G11" s="38">
        <v>19.9</v>
      </c>
      <c r="H11" s="38">
        <f t="shared" si="1"/>
        <v>19.9</v>
      </c>
      <c r="I11" s="38">
        <f>+H11</f>
        <v>19.9</v>
      </c>
      <c r="J11" s="38">
        <f>+I11</f>
        <v>19.9</v>
      </c>
      <c r="K11" s="144">
        <f>+G11*1.03</f>
        <v>20.497</v>
      </c>
      <c r="L11" s="99"/>
      <c r="M11" s="38"/>
      <c r="N11" s="38"/>
      <c r="O11" s="213" t="s">
        <v>58</v>
      </c>
      <c r="P11" s="239"/>
      <c r="Q11" s="239"/>
      <c r="R11" s="239"/>
      <c r="S11" s="239"/>
      <c r="T11" s="212"/>
      <c r="U11" s="17"/>
      <c r="V11" s="220"/>
      <c r="W11" s="220"/>
    </row>
    <row r="12" spans="1:22" ht="30" customHeight="1">
      <c r="A12" s="25" t="s">
        <v>123</v>
      </c>
      <c r="B12" s="38">
        <f>27318/1950</f>
        <v>14.009230769230768</v>
      </c>
      <c r="C12" s="38">
        <f>28425/1950</f>
        <v>14.576923076923077</v>
      </c>
      <c r="D12" s="38">
        <f>29622/1950</f>
        <v>15.19076923076923</v>
      </c>
      <c r="E12" s="38">
        <f>30963/1950</f>
        <v>15.878461538461538</v>
      </c>
      <c r="F12" s="38">
        <f>32353/1950</f>
        <v>16.59128205128205</v>
      </c>
      <c r="G12" s="38">
        <f>32353/1950</f>
        <v>16.59128205128205</v>
      </c>
      <c r="H12" s="38">
        <f t="shared" si="1"/>
        <v>16.59128205128205</v>
      </c>
      <c r="I12" s="38">
        <f>+G12</f>
        <v>16.59128205128205</v>
      </c>
      <c r="J12" s="38">
        <f>+G12</f>
        <v>16.59128205128205</v>
      </c>
      <c r="K12" s="99">
        <f>$F12+(533/1950)</f>
        <v>16.864615384615384</v>
      </c>
      <c r="L12" s="99"/>
      <c r="M12" s="38"/>
      <c r="N12" s="38"/>
      <c r="O12" s="213" t="s">
        <v>98</v>
      </c>
      <c r="P12" s="239"/>
      <c r="Q12" s="239"/>
      <c r="R12" s="239"/>
      <c r="S12" s="239"/>
      <c r="T12" s="212"/>
      <c r="V12" s="17"/>
    </row>
    <row r="13" spans="1:23" ht="39.95" customHeight="1">
      <c r="A13" s="42" t="s">
        <v>131</v>
      </c>
      <c r="B13" s="38">
        <v>14.97</v>
      </c>
      <c r="C13" s="38">
        <v>15.72</v>
      </c>
      <c r="D13" s="38">
        <v>16.5</v>
      </c>
      <c r="E13" s="38">
        <v>17.34</v>
      </c>
      <c r="F13" s="38">
        <v>18.2</v>
      </c>
      <c r="G13" s="38">
        <f>+F13</f>
        <v>18.2</v>
      </c>
      <c r="H13" s="38">
        <f t="shared" si="1"/>
        <v>18.2</v>
      </c>
      <c r="I13" s="99">
        <f>+H13*1.025-0.01</f>
        <v>18.644999999999996</v>
      </c>
      <c r="J13" s="38">
        <f>+I13</f>
        <v>18.644999999999996</v>
      </c>
      <c r="K13" s="38">
        <f>+J13</f>
        <v>18.644999999999996</v>
      </c>
      <c r="L13" s="99"/>
      <c r="M13" s="38"/>
      <c r="N13" s="99"/>
      <c r="O13" s="213" t="s">
        <v>59</v>
      </c>
      <c r="P13" s="239"/>
      <c r="Q13" s="239"/>
      <c r="R13" s="239"/>
      <c r="S13" s="239"/>
      <c r="T13" s="212"/>
      <c r="U13" s="17"/>
      <c r="V13" s="220"/>
      <c r="W13" s="220"/>
    </row>
    <row r="14" spans="1:20" ht="27.75" customHeight="1">
      <c r="A14" s="42" t="s">
        <v>120</v>
      </c>
      <c r="B14" s="38">
        <v>15.17</v>
      </c>
      <c r="C14" s="38">
        <v>15.93</v>
      </c>
      <c r="D14" s="38">
        <v>16.73</v>
      </c>
      <c r="E14" s="38">
        <v>17.57</v>
      </c>
      <c r="F14" s="38">
        <v>18.45</v>
      </c>
      <c r="G14" s="38">
        <v>19.37</v>
      </c>
      <c r="H14" s="38">
        <f t="shared" si="1"/>
        <v>19.37</v>
      </c>
      <c r="I14" s="38">
        <f>+G14</f>
        <v>19.37</v>
      </c>
      <c r="J14" s="38">
        <f>+G14</f>
        <v>19.37</v>
      </c>
      <c r="K14" s="38">
        <f>+H14</f>
        <v>19.37</v>
      </c>
      <c r="L14" s="99"/>
      <c r="M14" s="38"/>
      <c r="N14" s="38"/>
      <c r="O14" s="213" t="s">
        <v>83</v>
      </c>
      <c r="P14" s="239"/>
      <c r="Q14" s="239"/>
      <c r="R14" s="239"/>
      <c r="S14" s="239"/>
      <c r="T14" s="212"/>
    </row>
    <row r="15" spans="1:20" ht="13.5">
      <c r="A15" s="44" t="s">
        <v>0</v>
      </c>
      <c r="B15" s="45">
        <f aca="true" t="shared" si="2" ref="B15:I15">SUM(B5:B14)</f>
        <v>153.28923076923076</v>
      </c>
      <c r="C15" s="45">
        <f t="shared" si="2"/>
        <v>160.75692307692307</v>
      </c>
      <c r="D15" s="45">
        <f t="shared" si="2"/>
        <v>168.55076923076922</v>
      </c>
      <c r="E15" s="45">
        <f t="shared" si="2"/>
        <v>176.72846153846154</v>
      </c>
      <c r="F15" s="45">
        <f t="shared" si="2"/>
        <v>185.23128205128205</v>
      </c>
      <c r="G15" s="45">
        <f t="shared" si="2"/>
        <v>189.77128205128207</v>
      </c>
      <c r="H15" s="45">
        <f t="shared" si="2"/>
        <v>190.93128205128204</v>
      </c>
      <c r="I15" s="45">
        <f t="shared" si="2"/>
        <v>191.37628205128203</v>
      </c>
      <c r="J15" s="45">
        <f>SUM(J5:J14)</f>
        <v>191.37628205128203</v>
      </c>
      <c r="K15" s="45">
        <f>SUM(K5:K14)</f>
        <v>192.65581538461538</v>
      </c>
      <c r="L15" s="46"/>
      <c r="M15" s="46"/>
      <c r="N15" s="46"/>
      <c r="O15" s="231"/>
      <c r="P15" s="232"/>
      <c r="Q15" s="232"/>
      <c r="R15" s="232"/>
      <c r="S15" s="232"/>
      <c r="T15" s="233"/>
    </row>
    <row r="16" spans="1:20" ht="13.5">
      <c r="A16" s="11" t="s">
        <v>45</v>
      </c>
      <c r="B16" s="45">
        <f>B15/10</f>
        <v>15.328923076923076</v>
      </c>
      <c r="C16" s="45">
        <f aca="true" t="shared" si="3" ref="C16:K16">C15/10</f>
        <v>16.075692307692307</v>
      </c>
      <c r="D16" s="45">
        <f t="shared" si="3"/>
        <v>16.855076923076922</v>
      </c>
      <c r="E16" s="45">
        <f t="shared" si="3"/>
        <v>17.672846153846155</v>
      </c>
      <c r="F16" s="45">
        <f t="shared" si="3"/>
        <v>18.523128205128206</v>
      </c>
      <c r="G16" s="131">
        <f t="shared" si="3"/>
        <v>18.977128205128206</v>
      </c>
      <c r="H16" s="131">
        <f t="shared" si="3"/>
        <v>19.093128205128203</v>
      </c>
      <c r="I16" s="45">
        <f t="shared" si="3"/>
        <v>19.137628205128202</v>
      </c>
      <c r="J16" s="45">
        <f t="shared" si="3"/>
        <v>19.137628205128202</v>
      </c>
      <c r="K16" s="46">
        <f t="shared" si="3"/>
        <v>19.26558153846154</v>
      </c>
      <c r="L16" s="46"/>
      <c r="M16" s="46"/>
      <c r="N16" s="46"/>
      <c r="O16" s="234"/>
      <c r="P16" s="228"/>
      <c r="Q16" s="228"/>
      <c r="R16" s="228"/>
      <c r="S16" s="228"/>
      <c r="T16" s="235"/>
    </row>
    <row r="17" spans="1:20" ht="14.25" thickBot="1">
      <c r="A17" s="60" t="s">
        <v>46</v>
      </c>
      <c r="B17" s="61">
        <f>B16*2080</f>
        <v>31884.159999999996</v>
      </c>
      <c r="C17" s="61">
        <f aca="true" t="shared" si="4" ref="C17:K17">C16*2080</f>
        <v>33437.44</v>
      </c>
      <c r="D17" s="61">
        <f t="shared" si="4"/>
        <v>35058.56</v>
      </c>
      <c r="E17" s="61">
        <f t="shared" si="4"/>
        <v>36759.520000000004</v>
      </c>
      <c r="F17" s="61">
        <f t="shared" si="4"/>
        <v>38528.10666666667</v>
      </c>
      <c r="G17" s="148">
        <f t="shared" si="4"/>
        <v>39472.426666666666</v>
      </c>
      <c r="H17" s="148">
        <f t="shared" si="4"/>
        <v>39713.70666666666</v>
      </c>
      <c r="I17" s="61">
        <f t="shared" si="4"/>
        <v>39806.26666666666</v>
      </c>
      <c r="J17" s="61">
        <f t="shared" si="4"/>
        <v>39806.26666666666</v>
      </c>
      <c r="K17" s="61">
        <f t="shared" si="4"/>
        <v>40072.4096</v>
      </c>
      <c r="L17" s="61"/>
      <c r="M17" s="62"/>
      <c r="N17" s="62"/>
      <c r="O17" s="63"/>
      <c r="P17" s="63"/>
      <c r="Q17" s="63"/>
      <c r="R17" s="63"/>
      <c r="S17" s="63"/>
      <c r="T17" s="63"/>
    </row>
    <row r="18" spans="1:20" ht="13.5" thickTop="1">
      <c r="A18" s="64"/>
      <c r="B18" s="64"/>
      <c r="C18" s="64"/>
      <c r="D18" s="64"/>
      <c r="E18" s="64"/>
      <c r="F18" s="64"/>
      <c r="G18" s="64"/>
      <c r="H18" s="64"/>
      <c r="I18" s="64"/>
      <c r="J18" s="64"/>
      <c r="K18" s="64"/>
      <c r="L18" s="64"/>
      <c r="M18" s="64"/>
      <c r="N18" s="64"/>
      <c r="O18" s="64"/>
      <c r="P18" s="64"/>
      <c r="Q18" s="64"/>
      <c r="R18" s="64"/>
      <c r="S18" s="64"/>
      <c r="T18" s="64"/>
    </row>
    <row r="19" spans="1:20" ht="12.75">
      <c r="A19" s="182" t="s">
        <v>125</v>
      </c>
      <c r="B19" s="183"/>
      <c r="C19" s="183"/>
      <c r="D19" s="183"/>
      <c r="E19" s="183"/>
      <c r="F19" s="183"/>
      <c r="G19" s="183"/>
      <c r="H19" s="183"/>
      <c r="I19" s="183"/>
      <c r="J19" s="183"/>
      <c r="K19" s="183"/>
      <c r="L19" s="183"/>
      <c r="M19" s="183"/>
      <c r="N19" s="183"/>
      <c r="O19" s="183"/>
      <c r="P19" s="39"/>
      <c r="Q19" s="39"/>
      <c r="R19" s="39"/>
      <c r="S19" s="39"/>
      <c r="T19" s="39"/>
    </row>
    <row r="20" ht="13.5">
      <c r="A20" s="56" t="s">
        <v>47</v>
      </c>
    </row>
    <row r="21" spans="1:18" ht="12.75">
      <c r="A21" s="198" t="s">
        <v>30</v>
      </c>
      <c r="B21" s="199"/>
      <c r="C21" s="199"/>
      <c r="D21" s="199"/>
      <c r="E21" s="199"/>
      <c r="F21" s="199"/>
      <c r="Q21" s="111"/>
      <c r="R21" s="111"/>
    </row>
    <row r="22" spans="1:18" ht="12.75">
      <c r="A22" s="182"/>
      <c r="B22" s="183"/>
      <c r="C22" s="183"/>
      <c r="D22" s="183"/>
      <c r="E22" s="183"/>
      <c r="F22" s="183"/>
      <c r="G22" s="183"/>
      <c r="H22" s="183"/>
      <c r="I22" s="183"/>
      <c r="J22" s="183"/>
      <c r="K22" s="183"/>
      <c r="L22" s="183"/>
      <c r="M22" s="183"/>
      <c r="N22" s="183"/>
      <c r="O22" s="183"/>
      <c r="R22" s="111"/>
    </row>
    <row r="23" spans="1:20" ht="12.75">
      <c r="A23" s="52"/>
      <c r="B23" s="52"/>
      <c r="C23" s="52"/>
      <c r="D23" s="52"/>
      <c r="E23" s="52"/>
      <c r="F23" s="52"/>
      <c r="G23" s="52"/>
      <c r="H23" s="52"/>
      <c r="I23" s="52"/>
      <c r="J23" s="52"/>
      <c r="K23" s="52"/>
      <c r="L23" s="52"/>
      <c r="M23" s="52"/>
      <c r="N23" s="52"/>
      <c r="O23" s="52"/>
      <c r="P23" s="52"/>
      <c r="Q23" s="52"/>
      <c r="R23" s="52"/>
      <c r="S23" s="52"/>
      <c r="T23" s="51"/>
    </row>
    <row r="24" spans="1:20" ht="14.25">
      <c r="A24" s="132"/>
      <c r="B24" s="59"/>
      <c r="C24" s="59"/>
      <c r="D24" s="52"/>
      <c r="E24" s="52"/>
      <c r="F24" s="52"/>
      <c r="G24" s="52"/>
      <c r="H24" s="52"/>
      <c r="I24" s="52"/>
      <c r="J24" s="52"/>
      <c r="K24" s="133"/>
      <c r="L24" s="134"/>
      <c r="M24" s="135"/>
      <c r="N24" s="52"/>
      <c r="O24" s="52"/>
      <c r="P24" s="52"/>
      <c r="Q24" s="52"/>
      <c r="R24" s="52"/>
      <c r="S24" s="52"/>
      <c r="T24" s="53"/>
    </row>
    <row r="25" spans="1:20" ht="13.5">
      <c r="A25" s="136"/>
      <c r="B25" s="137"/>
      <c r="C25" s="137"/>
      <c r="D25" s="137"/>
      <c r="E25" s="137"/>
      <c r="F25" s="137"/>
      <c r="G25" s="137"/>
      <c r="H25" s="137"/>
      <c r="I25" s="137"/>
      <c r="J25" s="137"/>
      <c r="K25" s="137"/>
      <c r="L25" s="137"/>
      <c r="M25" s="137"/>
      <c r="N25" s="52"/>
      <c r="O25" s="52"/>
      <c r="P25" s="52"/>
      <c r="Q25" s="52"/>
      <c r="R25" s="52"/>
      <c r="S25" s="52"/>
      <c r="T25" s="53"/>
    </row>
    <row r="26" spans="1:20" ht="13.5" customHeight="1">
      <c r="A26" s="136"/>
      <c r="B26" s="137"/>
      <c r="C26" s="137"/>
      <c r="D26" s="137"/>
      <c r="E26" s="137"/>
      <c r="F26" s="137"/>
      <c r="G26" s="137"/>
      <c r="H26" s="137"/>
      <c r="I26" s="137"/>
      <c r="J26" s="137"/>
      <c r="K26" s="137"/>
      <c r="L26" s="137"/>
      <c r="M26" s="137"/>
      <c r="N26" s="52"/>
      <c r="O26" s="52"/>
      <c r="P26" s="52"/>
      <c r="Q26" s="52"/>
      <c r="R26" s="52"/>
      <c r="S26" s="52"/>
      <c r="T26" s="53"/>
    </row>
    <row r="27" spans="1:20" ht="13.5" customHeight="1">
      <c r="A27" s="138"/>
      <c r="B27" s="52"/>
      <c r="C27" s="52"/>
      <c r="D27" s="52"/>
      <c r="E27" s="52"/>
      <c r="F27" s="52"/>
      <c r="G27" s="52"/>
      <c r="H27" s="52"/>
      <c r="I27" s="52"/>
      <c r="J27" s="52"/>
      <c r="K27" s="52"/>
      <c r="L27" s="52"/>
      <c r="M27" s="52"/>
      <c r="N27" s="52"/>
      <c r="O27" s="52"/>
      <c r="P27" s="52"/>
      <c r="Q27" s="52"/>
      <c r="R27" s="52"/>
      <c r="S27" s="52"/>
      <c r="T27" s="55"/>
    </row>
    <row r="28" spans="1:19" ht="13.5">
      <c r="A28" s="139"/>
      <c r="B28" s="52"/>
      <c r="C28" s="52"/>
      <c r="D28" s="52"/>
      <c r="E28" s="52"/>
      <c r="F28" s="52"/>
      <c r="G28" s="52"/>
      <c r="H28" s="52"/>
      <c r="I28" s="52"/>
      <c r="J28" s="52"/>
      <c r="K28" s="52"/>
      <c r="L28" s="52"/>
      <c r="M28" s="52"/>
      <c r="N28" s="52"/>
      <c r="O28" s="52"/>
      <c r="P28" s="52"/>
      <c r="Q28" s="52"/>
      <c r="R28" s="52"/>
      <c r="S28" s="52"/>
    </row>
  </sheetData>
  <mergeCells count="22">
    <mergeCell ref="O8:T8"/>
    <mergeCell ref="O13:T13"/>
    <mergeCell ref="O12:T12"/>
    <mergeCell ref="O11:T11"/>
    <mergeCell ref="O15:T16"/>
    <mergeCell ref="A1:S1"/>
    <mergeCell ref="A2:S2"/>
    <mergeCell ref="O7:T7"/>
    <mergeCell ref="O6:T6"/>
    <mergeCell ref="O5:T5"/>
    <mergeCell ref="O4:T4"/>
    <mergeCell ref="O3:Q3"/>
    <mergeCell ref="R3:T3"/>
    <mergeCell ref="A22:O22"/>
    <mergeCell ref="A19:O19"/>
    <mergeCell ref="O10:T10"/>
    <mergeCell ref="O9:T9"/>
    <mergeCell ref="V13:W13"/>
    <mergeCell ref="O14:T14"/>
    <mergeCell ref="A21:F21"/>
    <mergeCell ref="V10:W10"/>
    <mergeCell ref="V11:W11"/>
  </mergeCells>
  <printOptions/>
  <pageMargins left="0.5" right="0.5" top="1" bottom="1" header="0.5" footer="0.5"/>
  <pageSetup fitToHeight="2" horizontalDpi="600" verticalDpi="600" orientation="landscape" scale="85" r:id="rId1"/>
  <headerFooter alignWithMargins="0">
    <oddFooter>&amp;L&amp;7&amp;Z&amp;F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Coast Section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Gaddini</dc:creator>
  <cp:keywords/>
  <dc:description/>
  <cp:lastModifiedBy>Laura Nathlich</cp:lastModifiedBy>
  <cp:lastPrinted>2016-04-18T19:41:53Z</cp:lastPrinted>
  <dcterms:created xsi:type="dcterms:W3CDTF">2002-05-03T22:20:12Z</dcterms:created>
  <dcterms:modified xsi:type="dcterms:W3CDTF">2016-04-18T19:42:35Z</dcterms:modified>
  <cp:category/>
  <cp:version/>
  <cp:contentType/>
  <cp:contentStatus/>
</cp:coreProperties>
</file>